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44A0443-55C3-43F0-9D43-88F80DC214E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G21" i="1"/>
  <c r="I21" i="1"/>
  <c r="C8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D9" i="1"/>
  <c r="C9" i="1"/>
  <c r="E37" i="1"/>
  <c r="F37" i="1"/>
  <c r="G37" i="1"/>
  <c r="E38" i="1"/>
  <c r="F38" i="1"/>
  <c r="G38" i="1"/>
  <c r="K38" i="1"/>
  <c r="E39" i="1"/>
  <c r="F39" i="1"/>
  <c r="G39" i="1"/>
  <c r="K39" i="1"/>
  <c r="E40" i="1"/>
  <c r="F40" i="1"/>
  <c r="G40" i="1"/>
  <c r="K4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G12" i="2"/>
  <c r="C12" i="2"/>
  <c r="E12" i="2"/>
  <c r="G11" i="2"/>
  <c r="C11" i="2"/>
  <c r="E11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D12" i="2"/>
  <c r="B12" i="2"/>
  <c r="A12" i="2"/>
  <c r="H11" i="2"/>
  <c r="B11" i="2"/>
  <c r="D11" i="2"/>
  <c r="A11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Q40" i="1"/>
  <c r="Q39" i="1"/>
  <c r="F16" i="1"/>
  <c r="C17" i="1"/>
  <c r="Q38" i="1"/>
  <c r="I37" i="1"/>
  <c r="Q37" i="1"/>
  <c r="C12" i="1"/>
  <c r="C11" i="1"/>
  <c r="O34" i="1" l="1"/>
  <c r="O32" i="1"/>
  <c r="C15" i="1"/>
  <c r="F18" i="1" s="1"/>
  <c r="O37" i="1"/>
  <c r="O27" i="1"/>
  <c r="O28" i="1"/>
  <c r="O35" i="1"/>
  <c r="O39" i="1"/>
  <c r="O26" i="1"/>
  <c r="O36" i="1"/>
  <c r="O40" i="1"/>
  <c r="O22" i="1"/>
  <c r="O23" i="1"/>
  <c r="O21" i="1"/>
  <c r="O30" i="1"/>
  <c r="O33" i="1"/>
  <c r="O24" i="1"/>
  <c r="O31" i="1"/>
  <c r="O29" i="1"/>
  <c r="O25" i="1"/>
  <c r="O38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<sst xmlns="http://schemas.openxmlformats.org/spreadsheetml/2006/main" count="246" uniqueCount="125">
  <si>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</si>
  <si>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</si>
  <si>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</si>
  <si>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</si>
  <si>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</si>
  <si>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</si>
  <si>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</si>
  <si>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</si>
  <si>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</si>
  <si>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</si>
  <si>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</si>
  <si>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</si>
  <si>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</si>
  <si>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</si>
  <si>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</si>
  <si>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</si>
  <si>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</si>
  <si>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</si>
  <si>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</si>
  <si>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</si>
  <si>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</si>
  <si>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</si>
  <si>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</si>
  <si>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</si>
  <si>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</si>
  <si>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</si>
  <si>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</si>
  <si>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</si>
  <si>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</si>
  <si>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</si>
  <si>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</si>
  <si>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</si>
  <si>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</si>
  <si>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</si>
  <si>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</si>
  <si>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</si>
  <si>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RR CMa / GSC 5966-1960               </t>
  </si>
  <si>
    <t xml:space="preserve">EA/SD     </t>
  </si>
  <si>
    <t>IBVS 5806</t>
  </si>
  <si>
    <t>Add cycle</t>
  </si>
  <si>
    <t>Old Cycle</t>
  </si>
  <si>
    <t>IBVS 5992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</si>
  <si>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</si>
  <si>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</si>
  <si>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</si>
  <si>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</si>
  <si>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</si>
  <si>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</si>
  <si>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</si>
  <si>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</si>
  <si>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</si>
  <si>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</si>
  <si>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</si>
  <si>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</si>
  <si>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2426765.343 </t>
  </si>
  <si>
    <t> 27.02.1932 20:13 </t>
  </si>
  <si>
    <t> 0.208 </t>
  </si>
  <si>
    <t>P </t>
  </si>
  <si>
    <t> P.Ahnert </t>
  </si>
  <si>
    <t> VSS 2.89 </t>
  </si>
  <si>
    <t>2427424.507 </t>
  </si>
  <si>
    <t> 18.12.1933 00:10 </t>
  </si>
  <si>
    <t> 0.229 </t>
  </si>
  <si>
    <t>2428210.360 </t>
  </si>
  <si>
    <t> 11.02.1936 20:38 </t>
  </si>
  <si>
    <t> 0.136 </t>
  </si>
  <si>
    <t>2428594.396 </t>
  </si>
  <si>
    <t> 01.03.1937 21:30 </t>
  </si>
  <si>
    <t> 0.170 </t>
  </si>
  <si>
    <t>2429229.570 </t>
  </si>
  <si>
    <t> 27.11.1938 01:40 </t>
  </si>
  <si>
    <t> 0.127 </t>
  </si>
  <si>
    <t>2429634.595 </t>
  </si>
  <si>
    <t> 06.01.1940 02:16 </t>
  </si>
  <si>
    <t> 0.216 </t>
  </si>
  <si>
    <t>2429640.506 </t>
  </si>
  <si>
    <t> 12.01.1940 00:08 </t>
  </si>
  <si>
    <t> 0.146 </t>
  </si>
  <si>
    <t>2429691.384 </t>
  </si>
  <si>
    <t> 02.03.1940 21:12 </t>
  </si>
  <si>
    <t> 0.182 </t>
  </si>
  <si>
    <t>2430326.564 </t>
  </si>
  <si>
    <t> 28.11.1941 01:32 </t>
  </si>
  <si>
    <t> 0.145 </t>
  </si>
  <si>
    <t>2430704.589 </t>
  </si>
  <si>
    <t> 11.12.1942 02:08 </t>
  </si>
  <si>
    <t> 0.150 </t>
  </si>
  <si>
    <t>2430734.526 </t>
  </si>
  <si>
    <t> 10.01.1943 00:37 </t>
  </si>
  <si>
    <t> 0.180 </t>
  </si>
  <si>
    <t>2431448.586 </t>
  </si>
  <si>
    <t> 24.12.1944 02:03 </t>
  </si>
  <si>
    <t> 0.070 </t>
  </si>
  <si>
    <t>2433630.569 </t>
  </si>
  <si>
    <t> 15.12.1950 01:39 </t>
  </si>
  <si>
    <t> 0.063 </t>
  </si>
  <si>
    <t>2433690.41 </t>
  </si>
  <si>
    <t> 12.02.1951 21:50 </t>
  </si>
  <si>
    <t> 0.09 </t>
  </si>
  <si>
    <t>2433708.358 </t>
  </si>
  <si>
    <t> 02.03.1951 20:35 </t>
  </si>
  <si>
    <t> 0.095 </t>
  </si>
  <si>
    <t>2444925.598 </t>
  </si>
  <si>
    <t> 17.11.1981 02:21 </t>
  </si>
  <si>
    <t> -0.051 </t>
  </si>
  <si>
    <t>V </t>
  </si>
  <si>
    <t> K.Locher </t>
  </si>
  <si>
    <t> BBS 57 </t>
  </si>
  <si>
    <t>2454045.9819 </t>
  </si>
  <si>
    <t> 06.11.2006 11:33 </t>
  </si>
  <si>
    <t> 0.0008 </t>
  </si>
  <si>
    <t>C </t>
  </si>
  <si>
    <t>o</t>
  </si>
  <si>
    <t> T.Krajci </t>
  </si>
  <si>
    <t>IBVS 5806 </t>
  </si>
  <si>
    <t>2455616.6791 </t>
  </si>
  <si>
    <t> 24.02.2011 04:17 </t>
  </si>
  <si>
    <t> 0.0007 </t>
  </si>
  <si>
    <t> R.Diethelm </t>
  </si>
  <si>
    <t>IBVS 5992 </t>
  </si>
  <si>
    <t>2455982.7358 </t>
  </si>
  <si>
    <t> 25.02.2012 05:39 </t>
  </si>
  <si>
    <t> 0.0000 </t>
  </si>
  <si>
    <t>IBVS 6029 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</si>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</sst>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CMa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Active!$D$21:$D$220</c:f>
                <c:numCache>
                  <c:formatCode>General</c:formatCode>
                  <c:ptCount val="20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plus>
            <c:minus>
              <c:numRef>
                <c:f>Active!$D$21:$D$220</c:f>
                <c:numCache>
                  <c:formatCode>General</c:formatCode>
                  <c:ptCount val="20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-21512.5</c:v>
                </c:pt>
                <c:pt idx="1">
                  <c:v>-20961.5</c:v>
                </c:pt>
                <c:pt idx="2">
                  <c:v>-20304.5</c:v>
                </c:pt>
                <c:pt idx="3">
                  <c:v>-19983.5</c:v>
                </c:pt>
                <c:pt idx="4">
                  <c:v>-19453</c:v>
                </c:pt>
                <c:pt idx="5">
                  <c:v>-19114</c:v>
                </c:pt>
                <c:pt idx="6">
                  <c:v>-19109</c:v>
                </c:pt>
                <c:pt idx="7">
                  <c:v>-19066.5</c:v>
                </c:pt>
                <c:pt idx="8">
                  <c:v>-18536</c:v>
                </c:pt>
                <c:pt idx="9">
                  <c:v>-18219.5</c:v>
                </c:pt>
                <c:pt idx="10">
                  <c:v>-18194.5</c:v>
                </c:pt>
                <c:pt idx="11">
                  <c:v>-17598</c:v>
                </c:pt>
                <c:pt idx="12">
                  <c:v>-15774</c:v>
                </c:pt>
                <c:pt idx="13">
                  <c:v>-15724</c:v>
                </c:pt>
                <c:pt idx="14">
                  <c:v>-15709</c:v>
                </c:pt>
                <c:pt idx="15">
                  <c:v>-6332</c:v>
                </c:pt>
                <c:pt idx="16">
                  <c:v>0</c:v>
                </c:pt>
                <c:pt idx="17">
                  <c:v>1292</c:v>
                </c:pt>
                <c:pt idx="18">
                  <c:v>2605</c:v>
                </c:pt>
                <c:pt idx="19">
                  <c:v>2911</c:v>
                </c:pt>
              </c:numCache>
            </c:numRef>
          </c:xVal>
          <c:yVal>
            <c:numRef>
              <c:f>Active!$H$21:$H$980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70-48CB-ADCE-3B48CA0E8AE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plus>
            <c:min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-21512.5</c:v>
                </c:pt>
                <c:pt idx="1">
                  <c:v>-20961.5</c:v>
                </c:pt>
                <c:pt idx="2">
                  <c:v>-20304.5</c:v>
                </c:pt>
                <c:pt idx="3">
                  <c:v>-19983.5</c:v>
                </c:pt>
                <c:pt idx="4">
                  <c:v>-19453</c:v>
                </c:pt>
                <c:pt idx="5">
                  <c:v>-19114</c:v>
                </c:pt>
                <c:pt idx="6">
                  <c:v>-19109</c:v>
                </c:pt>
                <c:pt idx="7">
                  <c:v>-19066.5</c:v>
                </c:pt>
                <c:pt idx="8">
                  <c:v>-18536</c:v>
                </c:pt>
                <c:pt idx="9">
                  <c:v>-18219.5</c:v>
                </c:pt>
                <c:pt idx="10">
                  <c:v>-18194.5</c:v>
                </c:pt>
                <c:pt idx="11">
                  <c:v>-17598</c:v>
                </c:pt>
                <c:pt idx="12">
                  <c:v>-15774</c:v>
                </c:pt>
                <c:pt idx="13">
                  <c:v>-15724</c:v>
                </c:pt>
                <c:pt idx="14">
                  <c:v>-15709</c:v>
                </c:pt>
                <c:pt idx="15">
                  <c:v>-6332</c:v>
                </c:pt>
                <c:pt idx="16">
                  <c:v>0</c:v>
                </c:pt>
                <c:pt idx="17">
                  <c:v>1292</c:v>
                </c:pt>
                <c:pt idx="18">
                  <c:v>2605</c:v>
                </c:pt>
                <c:pt idx="19">
                  <c:v>2911</c:v>
                </c:pt>
              </c:numCache>
            </c:numRef>
          </c:xVal>
          <c:yVal>
            <c:numRef>
              <c:f>Active!$I$21:$I$980</c:f>
              <c:numCache>
                <c:formatCode>General</c:formatCode>
                <c:ptCount val="960"/>
                <c:pt idx="0">
                  <c:v>-0.214574999998149</c:v>
                </c:pt>
                <c:pt idx="1">
                  <c:v>-0.19754900000043563</c:v>
                </c:pt>
                <c:pt idx="2">
                  <c:v>-0.29656700000123237</c:v>
                </c:pt>
                <c:pt idx="3">
                  <c:v>-0.26452100000096834</c:v>
                </c:pt>
                <c:pt idx="4">
                  <c:v>0.28612199999770382</c:v>
                </c:pt>
                <c:pt idx="5">
                  <c:v>-0.22576399999888963</c:v>
                </c:pt>
                <c:pt idx="6">
                  <c:v>-0.29613400000016554</c:v>
                </c:pt>
                <c:pt idx="7">
                  <c:v>-0.25977900000361842</c:v>
                </c:pt>
                <c:pt idx="8">
                  <c:v>0.29686399999627611</c:v>
                </c:pt>
                <c:pt idx="9">
                  <c:v>-0.29885700000158977</c:v>
                </c:pt>
                <c:pt idx="10">
                  <c:v>-0.26870699999926728</c:v>
                </c:pt>
                <c:pt idx="11">
                  <c:v>0.21385199999713222</c:v>
                </c:pt>
                <c:pt idx="12">
                  <c:v>0.19307600000320235</c:v>
                </c:pt>
                <c:pt idx="13">
                  <c:v>0.22037599999748636</c:v>
                </c:pt>
                <c:pt idx="14">
                  <c:v>0.22426599999744212</c:v>
                </c:pt>
                <c:pt idx="15">
                  <c:v>2.9680000006919727E-3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70-48CB-ADCE-3B48CA0E8AE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plus>
            <c:min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-21512.5</c:v>
                </c:pt>
                <c:pt idx="1">
                  <c:v>-20961.5</c:v>
                </c:pt>
                <c:pt idx="2">
                  <c:v>-20304.5</c:v>
                </c:pt>
                <c:pt idx="3">
                  <c:v>-19983.5</c:v>
                </c:pt>
                <c:pt idx="4">
                  <c:v>-19453</c:v>
                </c:pt>
                <c:pt idx="5">
                  <c:v>-19114</c:v>
                </c:pt>
                <c:pt idx="6">
                  <c:v>-19109</c:v>
                </c:pt>
                <c:pt idx="7">
                  <c:v>-19066.5</c:v>
                </c:pt>
                <c:pt idx="8">
                  <c:v>-18536</c:v>
                </c:pt>
                <c:pt idx="9">
                  <c:v>-18219.5</c:v>
                </c:pt>
                <c:pt idx="10">
                  <c:v>-18194.5</c:v>
                </c:pt>
                <c:pt idx="11">
                  <c:v>-17598</c:v>
                </c:pt>
                <c:pt idx="12">
                  <c:v>-15774</c:v>
                </c:pt>
                <c:pt idx="13">
                  <c:v>-15724</c:v>
                </c:pt>
                <c:pt idx="14">
                  <c:v>-15709</c:v>
                </c:pt>
                <c:pt idx="15">
                  <c:v>-6332</c:v>
                </c:pt>
                <c:pt idx="16">
                  <c:v>0</c:v>
                </c:pt>
                <c:pt idx="17">
                  <c:v>1292</c:v>
                </c:pt>
                <c:pt idx="18">
                  <c:v>2605</c:v>
                </c:pt>
                <c:pt idx="19">
                  <c:v>2911</c:v>
                </c:pt>
              </c:numCache>
            </c:numRef>
          </c:xVal>
          <c:yVal>
            <c:numRef>
              <c:f>Active!$J$21:$J$980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70-48CB-ADCE-3B48CA0E8AE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plus>
            <c:min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-21512.5</c:v>
                </c:pt>
                <c:pt idx="1">
                  <c:v>-20961.5</c:v>
                </c:pt>
                <c:pt idx="2">
                  <c:v>-20304.5</c:v>
                </c:pt>
                <c:pt idx="3">
                  <c:v>-19983.5</c:v>
                </c:pt>
                <c:pt idx="4">
                  <c:v>-19453</c:v>
                </c:pt>
                <c:pt idx="5">
                  <c:v>-19114</c:v>
                </c:pt>
                <c:pt idx="6">
                  <c:v>-19109</c:v>
                </c:pt>
                <c:pt idx="7">
                  <c:v>-19066.5</c:v>
                </c:pt>
                <c:pt idx="8">
                  <c:v>-18536</c:v>
                </c:pt>
                <c:pt idx="9">
                  <c:v>-18219.5</c:v>
                </c:pt>
                <c:pt idx="10">
                  <c:v>-18194.5</c:v>
                </c:pt>
                <c:pt idx="11">
                  <c:v>-17598</c:v>
                </c:pt>
                <c:pt idx="12">
                  <c:v>-15774</c:v>
                </c:pt>
                <c:pt idx="13">
                  <c:v>-15724</c:v>
                </c:pt>
                <c:pt idx="14">
                  <c:v>-15709</c:v>
                </c:pt>
                <c:pt idx="15">
                  <c:v>-6332</c:v>
                </c:pt>
                <c:pt idx="16">
                  <c:v>0</c:v>
                </c:pt>
                <c:pt idx="17">
                  <c:v>1292</c:v>
                </c:pt>
                <c:pt idx="18">
                  <c:v>2605</c:v>
                </c:pt>
                <c:pt idx="19">
                  <c:v>2911</c:v>
                </c:pt>
              </c:numCache>
            </c:numRef>
          </c:xVal>
          <c:yVal>
            <c:numRef>
              <c:f>Active!$K$21:$K$980</c:f>
              <c:numCache>
                <c:formatCode>General</c:formatCode>
                <c:ptCount val="960"/>
                <c:pt idx="17">
                  <c:v>-6.1079999868525192E-3</c:v>
                </c:pt>
                <c:pt idx="18">
                  <c:v>-1.6670000004523899E-2</c:v>
                </c:pt>
                <c:pt idx="19">
                  <c:v>-1.9813999999314547E-2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70-48CB-ADCE-3B48CA0E8AE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plus>
            <c:min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-21512.5</c:v>
                </c:pt>
                <c:pt idx="1">
                  <c:v>-20961.5</c:v>
                </c:pt>
                <c:pt idx="2">
                  <c:v>-20304.5</c:v>
                </c:pt>
                <c:pt idx="3">
                  <c:v>-19983.5</c:v>
                </c:pt>
                <c:pt idx="4">
                  <c:v>-19453</c:v>
                </c:pt>
                <c:pt idx="5">
                  <c:v>-19114</c:v>
                </c:pt>
                <c:pt idx="6">
                  <c:v>-19109</c:v>
                </c:pt>
                <c:pt idx="7">
                  <c:v>-19066.5</c:v>
                </c:pt>
                <c:pt idx="8">
                  <c:v>-18536</c:v>
                </c:pt>
                <c:pt idx="9">
                  <c:v>-18219.5</c:v>
                </c:pt>
                <c:pt idx="10">
                  <c:v>-18194.5</c:v>
                </c:pt>
                <c:pt idx="11">
                  <c:v>-17598</c:v>
                </c:pt>
                <c:pt idx="12">
                  <c:v>-15774</c:v>
                </c:pt>
                <c:pt idx="13">
                  <c:v>-15724</c:v>
                </c:pt>
                <c:pt idx="14">
                  <c:v>-15709</c:v>
                </c:pt>
                <c:pt idx="15">
                  <c:v>-6332</c:v>
                </c:pt>
                <c:pt idx="16">
                  <c:v>0</c:v>
                </c:pt>
                <c:pt idx="17">
                  <c:v>1292</c:v>
                </c:pt>
                <c:pt idx="18">
                  <c:v>2605</c:v>
                </c:pt>
                <c:pt idx="19">
                  <c:v>2911</c:v>
                </c:pt>
              </c:numCache>
            </c:numRef>
          </c:xVal>
          <c:yVal>
            <c:numRef>
              <c:f>Active!$L$21:$L$980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70-48CB-ADCE-3B48CA0E8AE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plus>
            <c:min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-21512.5</c:v>
                </c:pt>
                <c:pt idx="1">
                  <c:v>-20961.5</c:v>
                </c:pt>
                <c:pt idx="2">
                  <c:v>-20304.5</c:v>
                </c:pt>
                <c:pt idx="3">
                  <c:v>-19983.5</c:v>
                </c:pt>
                <c:pt idx="4">
                  <c:v>-19453</c:v>
                </c:pt>
                <c:pt idx="5">
                  <c:v>-19114</c:v>
                </c:pt>
                <c:pt idx="6">
                  <c:v>-19109</c:v>
                </c:pt>
                <c:pt idx="7">
                  <c:v>-19066.5</c:v>
                </c:pt>
                <c:pt idx="8">
                  <c:v>-18536</c:v>
                </c:pt>
                <c:pt idx="9">
                  <c:v>-18219.5</c:v>
                </c:pt>
                <c:pt idx="10">
                  <c:v>-18194.5</c:v>
                </c:pt>
                <c:pt idx="11">
                  <c:v>-17598</c:v>
                </c:pt>
                <c:pt idx="12">
                  <c:v>-15774</c:v>
                </c:pt>
                <c:pt idx="13">
                  <c:v>-15724</c:v>
                </c:pt>
                <c:pt idx="14">
                  <c:v>-15709</c:v>
                </c:pt>
                <c:pt idx="15">
                  <c:v>-6332</c:v>
                </c:pt>
                <c:pt idx="16">
                  <c:v>0</c:v>
                </c:pt>
                <c:pt idx="17">
                  <c:v>1292</c:v>
                </c:pt>
                <c:pt idx="18">
                  <c:v>2605</c:v>
                </c:pt>
                <c:pt idx="19">
                  <c:v>2911</c:v>
                </c:pt>
              </c:numCache>
            </c:numRef>
          </c:xVal>
          <c:yVal>
            <c:numRef>
              <c:f>Active!$M$21:$M$980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70-48CB-ADCE-3B48CA0E8AE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plus>
            <c:minus>
              <c:numRef>
                <c:f>Active!$D$21:$D$980</c:f>
                <c:numCache>
                  <c:formatCode>General</c:formatCode>
                  <c:ptCount val="96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-21512.5</c:v>
                </c:pt>
                <c:pt idx="1">
                  <c:v>-20961.5</c:v>
                </c:pt>
                <c:pt idx="2">
                  <c:v>-20304.5</c:v>
                </c:pt>
                <c:pt idx="3">
                  <c:v>-19983.5</c:v>
                </c:pt>
                <c:pt idx="4">
                  <c:v>-19453</c:v>
                </c:pt>
                <c:pt idx="5">
                  <c:v>-19114</c:v>
                </c:pt>
                <c:pt idx="6">
                  <c:v>-19109</c:v>
                </c:pt>
                <c:pt idx="7">
                  <c:v>-19066.5</c:v>
                </c:pt>
                <c:pt idx="8">
                  <c:v>-18536</c:v>
                </c:pt>
                <c:pt idx="9">
                  <c:v>-18219.5</c:v>
                </c:pt>
                <c:pt idx="10">
                  <c:v>-18194.5</c:v>
                </c:pt>
                <c:pt idx="11">
                  <c:v>-17598</c:v>
                </c:pt>
                <c:pt idx="12">
                  <c:v>-15774</c:v>
                </c:pt>
                <c:pt idx="13">
                  <c:v>-15724</c:v>
                </c:pt>
                <c:pt idx="14">
                  <c:v>-15709</c:v>
                </c:pt>
                <c:pt idx="15">
                  <c:v>-6332</c:v>
                </c:pt>
                <c:pt idx="16">
                  <c:v>0</c:v>
                </c:pt>
                <c:pt idx="17">
                  <c:v>1292</c:v>
                </c:pt>
                <c:pt idx="18">
                  <c:v>2605</c:v>
                </c:pt>
                <c:pt idx="19">
                  <c:v>2911</c:v>
                </c:pt>
              </c:numCache>
            </c:numRef>
          </c:xVal>
          <c:yVal>
            <c:numRef>
              <c:f>Active!$N$21:$N$980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70-48CB-ADCE-3B48CA0E8AE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-21512.5</c:v>
                </c:pt>
                <c:pt idx="1">
                  <c:v>-20961.5</c:v>
                </c:pt>
                <c:pt idx="2">
                  <c:v>-20304.5</c:v>
                </c:pt>
                <c:pt idx="3">
                  <c:v>-19983.5</c:v>
                </c:pt>
                <c:pt idx="4">
                  <c:v>-19453</c:v>
                </c:pt>
                <c:pt idx="5">
                  <c:v>-19114</c:v>
                </c:pt>
                <c:pt idx="6">
                  <c:v>-19109</c:v>
                </c:pt>
                <c:pt idx="7">
                  <c:v>-19066.5</c:v>
                </c:pt>
                <c:pt idx="8">
                  <c:v>-18536</c:v>
                </c:pt>
                <c:pt idx="9">
                  <c:v>-18219.5</c:v>
                </c:pt>
                <c:pt idx="10">
                  <c:v>-18194.5</c:v>
                </c:pt>
                <c:pt idx="11">
                  <c:v>-17598</c:v>
                </c:pt>
                <c:pt idx="12">
                  <c:v>-15774</c:v>
                </c:pt>
                <c:pt idx="13">
                  <c:v>-15724</c:v>
                </c:pt>
                <c:pt idx="14">
                  <c:v>-15709</c:v>
                </c:pt>
                <c:pt idx="15">
                  <c:v>-6332</c:v>
                </c:pt>
                <c:pt idx="16">
                  <c:v>0</c:v>
                </c:pt>
                <c:pt idx="17">
                  <c:v>1292</c:v>
                </c:pt>
                <c:pt idx="18">
                  <c:v>2605</c:v>
                </c:pt>
                <c:pt idx="19">
                  <c:v>2911</c:v>
                </c:pt>
              </c:numCache>
            </c:numRef>
          </c:xVal>
          <c:yVal>
            <c:numRef>
              <c:f>Active!$O$21:$O$980</c:f>
              <c:numCache>
                <c:formatCode>General</c:formatCode>
                <c:ptCount val="960"/>
                <c:pt idx="0">
                  <c:v>3.9105775707598524E-2</c:v>
                </c:pt>
                <c:pt idx="1">
                  <c:v>3.7906488082641465E-2</c:v>
                </c:pt>
                <c:pt idx="2">
                  <c:v>3.6476484508055643E-2</c:v>
                </c:pt>
                <c:pt idx="3">
                  <c:v>3.5777806962481749E-2</c:v>
                </c:pt>
                <c:pt idx="4">
                  <c:v>3.4623138931556663E-2</c:v>
                </c:pt>
                <c:pt idx="5">
                  <c:v>3.3885283205857132E-2</c:v>
                </c:pt>
                <c:pt idx="6">
                  <c:v>3.3874400378044449E-2</c:v>
                </c:pt>
                <c:pt idx="7">
                  <c:v>3.378189634163669E-2</c:v>
                </c:pt>
                <c:pt idx="8">
                  <c:v>3.262722831071161E-2</c:v>
                </c:pt>
                <c:pt idx="9">
                  <c:v>3.1938345310169126E-2</c:v>
                </c:pt>
                <c:pt idx="10">
                  <c:v>3.1883931171105738E-2</c:v>
                </c:pt>
                <c:pt idx="11">
                  <c:v>3.0585609813053312E-2</c:v>
                </c:pt>
                <c:pt idx="12">
                  <c:v>2.6615554226988559E-2</c:v>
                </c:pt>
                <c:pt idx="13">
                  <c:v>2.6506725948861783E-2</c:v>
                </c:pt>
                <c:pt idx="14">
                  <c:v>2.6474077465423754E-2</c:v>
                </c:pt>
                <c:pt idx="15">
                  <c:v>6.064422185528366E-3</c:v>
                </c:pt>
                <c:pt idx="16">
                  <c:v>-7.7175909564464193E-3</c:v>
                </c:pt>
                <c:pt idx="17">
                  <c:v>-1.0529713663242285E-2</c:v>
                </c:pt>
                <c:pt idx="18">
                  <c:v>-1.3387544246851396E-2</c:v>
                </c:pt>
                <c:pt idx="19">
                  <c:v>-1.4053573308987259E-2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70-48CB-ADCE-3B48CA0E8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013984"/>
        <c:axId val="1"/>
      </c:scatterChart>
      <c:valAx>
        <c:axId val="393013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013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BEAFB4-6E7D-88B9-F7A0-B9BE04E91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5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1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22</v>
      </c>
      <c r="B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5" t="s">
        <v>35</v>
      </c>
      <c r="C4" s="8">
        <v>52500.402000000002</v>
      </c>
      <c r="D4" s="9">
        <v>1.1962740000000001</v>
      </c>
    </row>
    <row r="5" spans="1:6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C4</f>
        <v>52500.402000000002</v>
      </c>
    </row>
    <row r="8" spans="1:6" x14ac:dyDescent="0.2">
      <c r="A8" t="s">
        <v>2</v>
      </c>
      <c r="C8">
        <f>D4</f>
        <v>1.1962740000000001</v>
      </c>
      <c r="D8" s="29"/>
    </row>
    <row r="9" spans="1:6" x14ac:dyDescent="0.2">
      <c r="A9" s="26" t="s">
        <v>32</v>
      </c>
      <c r="B9" s="27">
        <v>36</v>
      </c>
      <c r="C9" s="24" t="str">
        <f>"F"&amp;B9</f>
        <v>F36</v>
      </c>
      <c r="D9" s="25" t="str">
        <f>"G"&amp;B9</f>
        <v>G36</v>
      </c>
    </row>
    <row r="10" spans="1:6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6" x14ac:dyDescent="0.2">
      <c r="A11" s="12" t="s">
        <v>14</v>
      </c>
      <c r="B11" s="12"/>
      <c r="C11" s="23">
        <f ca="1">INTERCEPT(INDIRECT($D$9):G990,INDIRECT($C$9):F990)</f>
        <v>-7.7175909564464193E-3</v>
      </c>
      <c r="D11" s="3"/>
      <c r="E11" s="12"/>
    </row>
    <row r="12" spans="1:6" x14ac:dyDescent="0.2">
      <c r="A12" s="12" t="s">
        <v>15</v>
      </c>
      <c r="B12" s="12"/>
      <c r="C12" s="23">
        <f ca="1">SLOPE(INDIRECT($D$9):G990,INDIRECT($C$9):F990)</f>
        <v>-2.1765655625355E-6</v>
      </c>
      <c r="D12" s="3"/>
      <c r="E12" s="12"/>
    </row>
    <row r="13" spans="1:6" x14ac:dyDescent="0.2">
      <c r="A13" s="12" t="s">
        <v>17</v>
      </c>
      <c r="B13" s="12"/>
      <c r="C13" s="3" t="s">
        <v>12</v>
      </c>
    </row>
    <row r="14" spans="1:6" x14ac:dyDescent="0.2">
      <c r="A14" s="12"/>
      <c r="B14" s="12"/>
      <c r="C14" s="12"/>
    </row>
    <row r="15" spans="1:6" x14ac:dyDescent="0.2">
      <c r="A15" s="14" t="s">
        <v>16</v>
      </c>
      <c r="B15" s="12"/>
      <c r="C15" s="15">
        <f ca="1">(C7+C11)+(C8+C12)*INT(MAX(F21:F3531))</f>
        <v>55982.741560426693</v>
      </c>
      <c r="E15" s="16" t="s">
        <v>39</v>
      </c>
      <c r="F15" s="13">
        <v>1</v>
      </c>
    </row>
    <row r="16" spans="1:6" x14ac:dyDescent="0.2">
      <c r="A16" s="18" t="s">
        <v>3</v>
      </c>
      <c r="B16" s="12"/>
      <c r="C16" s="19">
        <f ca="1">+C8+C12</f>
        <v>1.1962718234344376</v>
      </c>
      <c r="E16" s="16" t="s">
        <v>29</v>
      </c>
      <c r="F16" s="17">
        <f ca="1">NOW()+15018.5+$C$5/24</f>
        <v>60335.738211458331</v>
      </c>
    </row>
    <row r="17" spans="1:17" ht="13.5" thickBot="1" x14ac:dyDescent="0.25">
      <c r="A17" s="16" t="s">
        <v>26</v>
      </c>
      <c r="B17" s="12"/>
      <c r="C17" s="12">
        <f>COUNT(C21:C2189)</f>
        <v>20</v>
      </c>
      <c r="E17" s="16" t="s">
        <v>40</v>
      </c>
      <c r="F17" s="17">
        <f ca="1">ROUND(2*(F16-$C$7)/$C$8,0)/2+F15</f>
        <v>6551</v>
      </c>
    </row>
    <row r="18" spans="1:17" ht="14.25" thickTop="1" thickBot="1" x14ac:dyDescent="0.25">
      <c r="A18" s="18" t="s">
        <v>4</v>
      </c>
      <c r="B18" s="12"/>
      <c r="C18" s="21">
        <f ca="1">+C15</f>
        <v>55982.741560426693</v>
      </c>
      <c r="D18" s="22">
        <f ca="1">+C16</f>
        <v>1.1962718234344376</v>
      </c>
      <c r="E18" s="16" t="s">
        <v>30</v>
      </c>
      <c r="F18" s="25">
        <f ca="1">ROUND(2*(F16-$C$15)/$C$16,0)/2+F15</f>
        <v>3640</v>
      </c>
    </row>
    <row r="19" spans="1:17" ht="13.5" thickTop="1" x14ac:dyDescent="0.2">
      <c r="E19" s="16" t="s">
        <v>31</v>
      </c>
      <c r="F19" s="20">
        <f ca="1">+$C$15+$C$16*F18-15018.5-$C$5/24</f>
        <v>45319.066831061384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50</v>
      </c>
      <c r="I20" s="7" t="s">
        <v>53</v>
      </c>
      <c r="J20" s="7" t="s">
        <v>47</v>
      </c>
      <c r="K20" s="7" t="s">
        <v>45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51" t="s">
        <v>59</v>
      </c>
      <c r="B21" s="53" t="s">
        <v>33</v>
      </c>
      <c r="C21" s="52">
        <v>26765.343000000001</v>
      </c>
      <c r="D21" s="52" t="s">
        <v>53</v>
      </c>
      <c r="E21">
        <f t="shared" ref="E21:E40" si="0">+(C21-C$7)/C$8</f>
        <v>-21512.679369442118</v>
      </c>
      <c r="F21">
        <f t="shared" ref="F21:F40" si="1">ROUND(2*E21,0)/2</f>
        <v>-21512.5</v>
      </c>
      <c r="G21">
        <f t="shared" ref="G21:G40" si="2">+C21-(C$7+F21*C$8)</f>
        <v>-0.214574999998149</v>
      </c>
      <c r="I21">
        <f t="shared" ref="I21:I37" si="3">+G21</f>
        <v>-0.214574999998149</v>
      </c>
      <c r="O21">
        <f t="shared" ref="O21:O40" ca="1" si="4">+C$11+C$12*$F21</f>
        <v>3.9105775707598524E-2</v>
      </c>
      <c r="Q21" s="2">
        <f t="shared" ref="Q21:Q40" si="5">+C21-15018.5</f>
        <v>11746.843000000001</v>
      </c>
    </row>
    <row r="22" spans="1:17" x14ac:dyDescent="0.2">
      <c r="A22" s="51" t="s">
        <v>59</v>
      </c>
      <c r="B22" s="53" t="s">
        <v>33</v>
      </c>
      <c r="C22" s="52">
        <v>27424.507000000001</v>
      </c>
      <c r="D22" s="52" t="s">
        <v>53</v>
      </c>
      <c r="E22">
        <f t="shared" si="0"/>
        <v>-20961.665136916792</v>
      </c>
      <c r="F22">
        <f t="shared" si="1"/>
        <v>-20961.5</v>
      </c>
      <c r="G22">
        <f t="shared" si="2"/>
        <v>-0.19754900000043563</v>
      </c>
      <c r="I22">
        <f t="shared" si="3"/>
        <v>-0.19754900000043563</v>
      </c>
      <c r="O22">
        <f t="shared" ca="1" si="4"/>
        <v>3.7906488082641465E-2</v>
      </c>
      <c r="Q22" s="2">
        <f t="shared" si="5"/>
        <v>12406.007000000001</v>
      </c>
    </row>
    <row r="23" spans="1:17" x14ac:dyDescent="0.2">
      <c r="A23" s="51" t="s">
        <v>59</v>
      </c>
      <c r="B23" s="53" t="s">
        <v>33</v>
      </c>
      <c r="C23" s="52">
        <v>28210.36</v>
      </c>
      <c r="D23" s="52" t="s">
        <v>53</v>
      </c>
      <c r="E23">
        <f t="shared" si="0"/>
        <v>-20304.747908923877</v>
      </c>
      <c r="F23">
        <f t="shared" si="1"/>
        <v>-20304.5</v>
      </c>
      <c r="G23">
        <f t="shared" si="2"/>
        <v>-0.29656700000123237</v>
      </c>
      <c r="I23">
        <f t="shared" si="3"/>
        <v>-0.29656700000123237</v>
      </c>
      <c r="O23">
        <f t="shared" ca="1" si="4"/>
        <v>3.6476484508055643E-2</v>
      </c>
      <c r="Q23" s="2">
        <f t="shared" si="5"/>
        <v>13191.86</v>
      </c>
    </row>
    <row r="24" spans="1:17" x14ac:dyDescent="0.2">
      <c r="A24" s="51" t="s">
        <v>59</v>
      </c>
      <c r="B24" s="53" t="s">
        <v>33</v>
      </c>
      <c r="C24" s="52">
        <v>28594.396000000001</v>
      </c>
      <c r="D24" s="52" t="s">
        <v>53</v>
      </c>
      <c r="E24">
        <f t="shared" si="0"/>
        <v>-19983.721120746584</v>
      </c>
      <c r="F24">
        <f t="shared" si="1"/>
        <v>-19983.5</v>
      </c>
      <c r="G24">
        <f t="shared" si="2"/>
        <v>-0.26452100000096834</v>
      </c>
      <c r="I24">
        <f t="shared" si="3"/>
        <v>-0.26452100000096834</v>
      </c>
      <c r="O24">
        <f t="shared" ca="1" si="4"/>
        <v>3.5777806962481749E-2</v>
      </c>
      <c r="Q24" s="2">
        <f t="shared" si="5"/>
        <v>13575.896000000001</v>
      </c>
    </row>
    <row r="25" spans="1:17" x14ac:dyDescent="0.2">
      <c r="A25" s="51" t="s">
        <v>59</v>
      </c>
      <c r="B25" s="53" t="s">
        <v>33</v>
      </c>
      <c r="C25" s="52">
        <v>29229.57</v>
      </c>
      <c r="D25" s="52" t="s">
        <v>53</v>
      </c>
      <c r="E25">
        <f t="shared" si="0"/>
        <v>-19452.760822353408</v>
      </c>
      <c r="F25">
        <f t="shared" si="1"/>
        <v>-19453</v>
      </c>
      <c r="G25">
        <f t="shared" si="2"/>
        <v>0.28612199999770382</v>
      </c>
      <c r="I25">
        <f t="shared" si="3"/>
        <v>0.28612199999770382</v>
      </c>
      <c r="O25">
        <f t="shared" ca="1" si="4"/>
        <v>3.4623138931556663E-2</v>
      </c>
      <c r="Q25" s="2">
        <f t="shared" si="5"/>
        <v>14211.07</v>
      </c>
    </row>
    <row r="26" spans="1:17" x14ac:dyDescent="0.2">
      <c r="A26" s="51" t="s">
        <v>59</v>
      </c>
      <c r="B26" s="53" t="s">
        <v>124</v>
      </c>
      <c r="C26" s="52">
        <v>29634.595000000001</v>
      </c>
      <c r="D26" s="52" t="s">
        <v>53</v>
      </c>
      <c r="E26">
        <f t="shared" si="0"/>
        <v>-19114.188722650495</v>
      </c>
      <c r="F26">
        <f t="shared" si="1"/>
        <v>-19114</v>
      </c>
      <c r="G26">
        <f t="shared" si="2"/>
        <v>-0.22576399999888963</v>
      </c>
      <c r="I26">
        <f t="shared" si="3"/>
        <v>-0.22576399999888963</v>
      </c>
      <c r="O26">
        <f t="shared" ca="1" si="4"/>
        <v>3.3885283205857132E-2</v>
      </c>
      <c r="Q26" s="2">
        <f t="shared" si="5"/>
        <v>14616.095000000001</v>
      </c>
    </row>
    <row r="27" spans="1:17" x14ac:dyDescent="0.2">
      <c r="A27" s="51" t="s">
        <v>59</v>
      </c>
      <c r="B27" s="53" t="s">
        <v>124</v>
      </c>
      <c r="C27" s="52">
        <v>29640.506000000001</v>
      </c>
      <c r="D27" s="52" t="s">
        <v>53</v>
      </c>
      <c r="E27">
        <f t="shared" si="0"/>
        <v>-19109.247546966664</v>
      </c>
      <c r="F27">
        <f t="shared" si="1"/>
        <v>-19109</v>
      </c>
      <c r="G27">
        <f t="shared" si="2"/>
        <v>-0.29613400000016554</v>
      </c>
      <c r="I27">
        <f t="shared" si="3"/>
        <v>-0.29613400000016554</v>
      </c>
      <c r="O27">
        <f t="shared" ca="1" si="4"/>
        <v>3.3874400378044449E-2</v>
      </c>
      <c r="Q27" s="2">
        <f t="shared" si="5"/>
        <v>14622.006000000001</v>
      </c>
    </row>
    <row r="28" spans="1:17" x14ac:dyDescent="0.2">
      <c r="A28" s="51" t="s">
        <v>59</v>
      </c>
      <c r="B28" s="53" t="s">
        <v>33</v>
      </c>
      <c r="C28" s="52">
        <v>29691.383999999998</v>
      </c>
      <c r="D28" s="52" t="s">
        <v>53</v>
      </c>
      <c r="E28">
        <f t="shared" si="0"/>
        <v>-19066.717156771778</v>
      </c>
      <c r="F28">
        <f t="shared" si="1"/>
        <v>-19066.5</v>
      </c>
      <c r="G28">
        <f t="shared" si="2"/>
        <v>-0.25977900000361842</v>
      </c>
      <c r="I28">
        <f t="shared" si="3"/>
        <v>-0.25977900000361842</v>
      </c>
      <c r="O28">
        <f t="shared" ca="1" si="4"/>
        <v>3.378189634163669E-2</v>
      </c>
      <c r="Q28" s="2">
        <f t="shared" si="5"/>
        <v>14672.883999999998</v>
      </c>
    </row>
    <row r="29" spans="1:17" x14ac:dyDescent="0.2">
      <c r="A29" s="51" t="s">
        <v>59</v>
      </c>
      <c r="B29" s="53" t="s">
        <v>33</v>
      </c>
      <c r="C29" s="52">
        <v>30326.563999999998</v>
      </c>
      <c r="D29" s="52" t="s">
        <v>53</v>
      </c>
      <c r="E29">
        <f t="shared" si="0"/>
        <v>-18535.751842805246</v>
      </c>
      <c r="F29">
        <f t="shared" si="1"/>
        <v>-18536</v>
      </c>
      <c r="G29">
        <f t="shared" si="2"/>
        <v>0.29686399999627611</v>
      </c>
      <c r="I29">
        <f t="shared" si="3"/>
        <v>0.29686399999627611</v>
      </c>
      <c r="O29">
        <f t="shared" ca="1" si="4"/>
        <v>3.262722831071161E-2</v>
      </c>
      <c r="Q29" s="2">
        <f t="shared" si="5"/>
        <v>15308.063999999998</v>
      </c>
    </row>
    <row r="30" spans="1:17" x14ac:dyDescent="0.2">
      <c r="A30" s="51" t="s">
        <v>59</v>
      </c>
      <c r="B30" s="53" t="s">
        <v>33</v>
      </c>
      <c r="C30" s="52">
        <v>30704.589</v>
      </c>
      <c r="D30" s="52" t="s">
        <v>53</v>
      </c>
      <c r="E30">
        <f t="shared" si="0"/>
        <v>-18219.74982320104</v>
      </c>
      <c r="F30">
        <f t="shared" si="1"/>
        <v>-18219.5</v>
      </c>
      <c r="G30">
        <f t="shared" si="2"/>
        <v>-0.29885700000158977</v>
      </c>
      <c r="I30">
        <f t="shared" si="3"/>
        <v>-0.29885700000158977</v>
      </c>
      <c r="O30">
        <f t="shared" ca="1" si="4"/>
        <v>3.1938345310169126E-2</v>
      </c>
      <c r="Q30" s="2">
        <f t="shared" si="5"/>
        <v>15686.089</v>
      </c>
    </row>
    <row r="31" spans="1:17" x14ac:dyDescent="0.2">
      <c r="A31" s="51" t="s">
        <v>59</v>
      </c>
      <c r="B31" s="53" t="s">
        <v>33</v>
      </c>
      <c r="C31" s="52">
        <v>30734.526000000002</v>
      </c>
      <c r="D31" s="52" t="s">
        <v>53</v>
      </c>
      <c r="E31">
        <f t="shared" si="0"/>
        <v>-18194.724619944929</v>
      </c>
      <c r="F31">
        <f t="shared" si="1"/>
        <v>-18194.5</v>
      </c>
      <c r="G31">
        <f t="shared" si="2"/>
        <v>-0.26870699999926728</v>
      </c>
      <c r="I31">
        <f t="shared" si="3"/>
        <v>-0.26870699999926728</v>
      </c>
      <c r="O31">
        <f t="shared" ca="1" si="4"/>
        <v>3.1883931171105738E-2</v>
      </c>
      <c r="Q31" s="2">
        <f t="shared" si="5"/>
        <v>15716.026000000002</v>
      </c>
    </row>
    <row r="32" spans="1:17" x14ac:dyDescent="0.2">
      <c r="A32" s="51" t="s">
        <v>59</v>
      </c>
      <c r="B32" s="53" t="s">
        <v>33</v>
      </c>
      <c r="C32" s="52">
        <v>31448.585999999999</v>
      </c>
      <c r="D32" s="52" t="s">
        <v>53</v>
      </c>
      <c r="E32">
        <f t="shared" si="0"/>
        <v>-17597.821234934472</v>
      </c>
      <c r="F32">
        <f t="shared" si="1"/>
        <v>-17598</v>
      </c>
      <c r="G32">
        <f t="shared" si="2"/>
        <v>0.21385199999713222</v>
      </c>
      <c r="I32">
        <f t="shared" si="3"/>
        <v>0.21385199999713222</v>
      </c>
      <c r="O32">
        <f t="shared" ca="1" si="4"/>
        <v>3.0585609813053312E-2</v>
      </c>
      <c r="Q32" s="2">
        <f t="shared" si="5"/>
        <v>16430.085999999999</v>
      </c>
    </row>
    <row r="33" spans="1:17" x14ac:dyDescent="0.2">
      <c r="A33" s="51" t="s">
        <v>59</v>
      </c>
      <c r="B33" s="53" t="s">
        <v>33</v>
      </c>
      <c r="C33" s="52">
        <v>33630.569000000003</v>
      </c>
      <c r="D33" s="52" t="s">
        <v>53</v>
      </c>
      <c r="E33">
        <f t="shared" si="0"/>
        <v>-15773.838602193142</v>
      </c>
      <c r="F33">
        <f t="shared" si="1"/>
        <v>-15774</v>
      </c>
      <c r="G33">
        <f t="shared" si="2"/>
        <v>0.19307600000320235</v>
      </c>
      <c r="I33">
        <f t="shared" si="3"/>
        <v>0.19307600000320235</v>
      </c>
      <c r="O33">
        <f t="shared" ca="1" si="4"/>
        <v>2.6615554226988559E-2</v>
      </c>
      <c r="Q33" s="2">
        <f t="shared" si="5"/>
        <v>18612.069000000003</v>
      </c>
    </row>
    <row r="34" spans="1:17" x14ac:dyDescent="0.2">
      <c r="A34" s="51" t="s">
        <v>59</v>
      </c>
      <c r="B34" s="53" t="s">
        <v>33</v>
      </c>
      <c r="C34" s="52">
        <v>33690.410000000003</v>
      </c>
      <c r="D34" s="52" t="s">
        <v>53</v>
      </c>
      <c r="E34">
        <f t="shared" si="0"/>
        <v>-15723.815781334375</v>
      </c>
      <c r="F34">
        <f t="shared" si="1"/>
        <v>-15724</v>
      </c>
      <c r="G34">
        <f t="shared" si="2"/>
        <v>0.22037599999748636</v>
      </c>
      <c r="I34">
        <f t="shared" si="3"/>
        <v>0.22037599999748636</v>
      </c>
      <c r="O34">
        <f t="shared" ca="1" si="4"/>
        <v>2.6506725948861783E-2</v>
      </c>
      <c r="Q34" s="2">
        <f t="shared" si="5"/>
        <v>18671.910000000003</v>
      </c>
    </row>
    <row r="35" spans="1:17" x14ac:dyDescent="0.2">
      <c r="A35" s="51" t="s">
        <v>59</v>
      </c>
      <c r="B35" s="53" t="s">
        <v>33</v>
      </c>
      <c r="C35" s="52">
        <v>33708.358</v>
      </c>
      <c r="D35" s="52" t="s">
        <v>53</v>
      </c>
      <c r="E35">
        <f t="shared" si="0"/>
        <v>-15708.812529570985</v>
      </c>
      <c r="F35">
        <f t="shared" si="1"/>
        <v>-15709</v>
      </c>
      <c r="G35">
        <f t="shared" si="2"/>
        <v>0.22426599999744212</v>
      </c>
      <c r="I35">
        <f t="shared" si="3"/>
        <v>0.22426599999744212</v>
      </c>
      <c r="O35">
        <f t="shared" ca="1" si="4"/>
        <v>2.6474077465423754E-2</v>
      </c>
      <c r="Q35" s="2">
        <f t="shared" si="5"/>
        <v>18689.858</v>
      </c>
    </row>
    <row r="36" spans="1:17" x14ac:dyDescent="0.2">
      <c r="A36" s="51" t="s">
        <v>107</v>
      </c>
      <c r="B36" s="53" t="s">
        <v>33</v>
      </c>
      <c r="C36" s="52">
        <v>44925.597999999998</v>
      </c>
      <c r="D36" s="52" t="s">
        <v>53</v>
      </c>
      <c r="E36">
        <f t="shared" si="0"/>
        <v>-6331.9975189630495</v>
      </c>
      <c r="F36">
        <f t="shared" si="1"/>
        <v>-6332</v>
      </c>
      <c r="G36">
        <f t="shared" si="2"/>
        <v>2.9680000006919727E-3</v>
      </c>
      <c r="I36">
        <f t="shared" si="3"/>
        <v>2.9680000006919727E-3</v>
      </c>
      <c r="O36">
        <f t="shared" ca="1" si="4"/>
        <v>6.064422185528366E-3</v>
      </c>
      <c r="Q36" s="2">
        <f t="shared" si="5"/>
        <v>29907.097999999998</v>
      </c>
    </row>
    <row r="37" spans="1:17" x14ac:dyDescent="0.2">
      <c r="A37" s="31" t="s">
        <v>34</v>
      </c>
      <c r="B37" s="30" t="s">
        <v>33</v>
      </c>
      <c r="C37" s="31">
        <v>52500.402000000002</v>
      </c>
      <c r="D37" s="28"/>
      <c r="E37">
        <f t="shared" si="0"/>
        <v>0</v>
      </c>
      <c r="F37">
        <f t="shared" si="1"/>
        <v>0</v>
      </c>
      <c r="G37">
        <f t="shared" si="2"/>
        <v>0</v>
      </c>
      <c r="I37">
        <f t="shared" si="3"/>
        <v>0</v>
      </c>
      <c r="O37">
        <f t="shared" ca="1" si="4"/>
        <v>-7.7175909564464193E-3</v>
      </c>
      <c r="Q37" s="2">
        <f t="shared" si="5"/>
        <v>37481.902000000002</v>
      </c>
    </row>
    <row r="38" spans="1:17" x14ac:dyDescent="0.2">
      <c r="A38" s="32" t="s">
        <v>38</v>
      </c>
      <c r="B38" s="33" t="s">
        <v>33</v>
      </c>
      <c r="C38" s="32">
        <v>54045.981900000013</v>
      </c>
      <c r="D38" s="32">
        <v>2.0000000000000001E-4</v>
      </c>
      <c r="E38">
        <f t="shared" si="0"/>
        <v>1291.994894146334</v>
      </c>
      <c r="F38">
        <f t="shared" si="1"/>
        <v>1292</v>
      </c>
      <c r="G38">
        <f t="shared" si="2"/>
        <v>-6.1079999868525192E-3</v>
      </c>
      <c r="K38">
        <f>+G38</f>
        <v>-6.1079999868525192E-3</v>
      </c>
      <c r="O38">
        <f t="shared" ca="1" si="4"/>
        <v>-1.0529713663242285E-2</v>
      </c>
      <c r="Q38" s="2">
        <f t="shared" si="5"/>
        <v>39027.481900000013</v>
      </c>
    </row>
    <row r="39" spans="1:17" x14ac:dyDescent="0.2">
      <c r="A39" s="34" t="s">
        <v>41</v>
      </c>
      <c r="B39" s="35" t="s">
        <v>33</v>
      </c>
      <c r="C39" s="34">
        <v>55616.679100000001</v>
      </c>
      <c r="D39" s="34">
        <v>2.0000000000000001E-4</v>
      </c>
      <c r="E39">
        <f t="shared" si="0"/>
        <v>2604.9860650653604</v>
      </c>
      <c r="F39">
        <f t="shared" si="1"/>
        <v>2605</v>
      </c>
      <c r="G39">
        <f t="shared" si="2"/>
        <v>-1.6670000004523899E-2</v>
      </c>
      <c r="K39">
        <f>+G39</f>
        <v>-1.6670000004523899E-2</v>
      </c>
      <c r="O39">
        <f t="shared" ca="1" si="4"/>
        <v>-1.3387544246851396E-2</v>
      </c>
      <c r="Q39" s="2">
        <f t="shared" si="5"/>
        <v>40598.179100000001</v>
      </c>
    </row>
    <row r="40" spans="1:17" x14ac:dyDescent="0.2">
      <c r="A40" s="36" t="s">
        <v>42</v>
      </c>
      <c r="B40" s="37" t="s">
        <v>33</v>
      </c>
      <c r="C40" s="36">
        <v>55982.735800000002</v>
      </c>
      <c r="D40" s="36">
        <v>5.9999999999999995E-4</v>
      </c>
      <c r="E40">
        <f t="shared" si="0"/>
        <v>2910.9834369049231</v>
      </c>
      <c r="F40">
        <f t="shared" si="1"/>
        <v>2911</v>
      </c>
      <c r="G40">
        <f t="shared" si="2"/>
        <v>-1.9813999999314547E-2</v>
      </c>
      <c r="K40">
        <f>+G40</f>
        <v>-1.9813999999314547E-2</v>
      </c>
      <c r="O40">
        <f t="shared" ca="1" si="4"/>
        <v>-1.4053573308987259E-2</v>
      </c>
      <c r="Q40" s="2">
        <f t="shared" si="5"/>
        <v>40964.235800000002</v>
      </c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5"/>
  <sheetViews>
    <sheetView topLeftCell="A4" workbookViewId="0">
      <selection activeCell="A13" sqref="A13:D2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43</v>
      </c>
      <c r="I1" s="39" t="s">
        <v>44</v>
      </c>
      <c r="J1" s="40" t="s">
        <v>45</v>
      </c>
    </row>
    <row r="2" spans="1:16" x14ac:dyDescent="0.2">
      <c r="I2" s="41" t="s">
        <v>46</v>
      </c>
      <c r="J2" s="42" t="s">
        <v>47</v>
      </c>
    </row>
    <row r="3" spans="1:16" x14ac:dyDescent="0.2">
      <c r="A3" s="43" t="s">
        <v>48</v>
      </c>
      <c r="I3" s="41" t="s">
        <v>49</v>
      </c>
      <c r="J3" s="42" t="s">
        <v>50</v>
      </c>
    </row>
    <row r="4" spans="1:16" x14ac:dyDescent="0.2">
      <c r="I4" s="41" t="s">
        <v>51</v>
      </c>
      <c r="J4" s="42" t="s">
        <v>50</v>
      </c>
    </row>
    <row r="5" spans="1:16" ht="13.5" thickBot="1" x14ac:dyDescent="0.25">
      <c r="I5" s="44" t="s">
        <v>52</v>
      </c>
      <c r="J5" s="45" t="s">
        <v>53</v>
      </c>
    </row>
    <row r="10" spans="1:16" ht="13.5" thickBot="1" x14ac:dyDescent="0.25"/>
    <row r="11" spans="1:16" ht="12.75" customHeight="1" thickBot="1" x14ac:dyDescent="0.25">
      <c r="A11" s="10" t="str">
        <f t="shared" ref="A11:A29" si="0">P11</f>
        <v>IBVS 5992 </v>
      </c>
      <c r="B11" s="3" t="str">
        <f t="shared" ref="B11:B29" si="1">IF(H11=INT(H11),"I","II")</f>
        <v>I</v>
      </c>
      <c r="C11" s="10">
        <f t="shared" ref="C11:C29" si="2">1*G11</f>
        <v>55616.679100000001</v>
      </c>
      <c r="D11" s="12" t="str">
        <f t="shared" ref="D11:D29" si="3">VLOOKUP(F11,I$1:J$5,2,FALSE)</f>
        <v>vis</v>
      </c>
      <c r="E11" s="46">
        <f>VLOOKUP(C11,Active!C$21:E$972,3,FALSE)</f>
        <v>2604.9860650653604</v>
      </c>
      <c r="F11" s="3" t="s">
        <v>52</v>
      </c>
      <c r="G11" s="12" t="str">
        <f t="shared" ref="G11:G29" si="4">MID(I11,3,LEN(I11)-3)</f>
        <v>55616.6791</v>
      </c>
      <c r="H11" s="10">
        <f t="shared" ref="H11:H29" si="5">1*K11</f>
        <v>1554</v>
      </c>
      <c r="I11" s="47" t="s">
        <v>115</v>
      </c>
      <c r="J11" s="48" t="s">
        <v>116</v>
      </c>
      <c r="K11" s="47">
        <v>1554</v>
      </c>
      <c r="L11" s="47" t="s">
        <v>117</v>
      </c>
      <c r="M11" s="48" t="s">
        <v>111</v>
      </c>
      <c r="N11" s="48" t="s">
        <v>52</v>
      </c>
      <c r="O11" s="49" t="s">
        <v>118</v>
      </c>
      <c r="P11" s="50" t="s">
        <v>119</v>
      </c>
    </row>
    <row r="12" spans="1:16" ht="12.75" customHeight="1" thickBot="1" x14ac:dyDescent="0.25">
      <c r="A12" s="10" t="str">
        <f t="shared" si="0"/>
        <v>IBVS 6029 </v>
      </c>
      <c r="B12" s="3" t="str">
        <f t="shared" si="1"/>
        <v>I</v>
      </c>
      <c r="C12" s="10">
        <f t="shared" si="2"/>
        <v>55982.735800000002</v>
      </c>
      <c r="D12" s="12" t="str">
        <f t="shared" si="3"/>
        <v>vis</v>
      </c>
      <c r="E12" s="46">
        <f>VLOOKUP(C12,Active!C$21:E$972,3,FALSE)</f>
        <v>2910.9834369049231</v>
      </c>
      <c r="F12" s="3" t="s">
        <v>52</v>
      </c>
      <c r="G12" s="12" t="str">
        <f t="shared" si="4"/>
        <v>55982.7358</v>
      </c>
      <c r="H12" s="10">
        <f t="shared" si="5"/>
        <v>1860</v>
      </c>
      <c r="I12" s="47" t="s">
        <v>120</v>
      </c>
      <c r="J12" s="48" t="s">
        <v>121</v>
      </c>
      <c r="K12" s="47">
        <v>1860</v>
      </c>
      <c r="L12" s="47" t="s">
        <v>122</v>
      </c>
      <c r="M12" s="48" t="s">
        <v>111</v>
      </c>
      <c r="N12" s="48" t="s">
        <v>52</v>
      </c>
      <c r="O12" s="49" t="s">
        <v>118</v>
      </c>
      <c r="P12" s="50" t="s">
        <v>123</v>
      </c>
    </row>
    <row r="13" spans="1:16" ht="12.75" customHeight="1" thickBot="1" x14ac:dyDescent="0.25">
      <c r="A13" s="10" t="str">
        <f t="shared" si="0"/>
        <v> VSS 2.89 </v>
      </c>
      <c r="B13" s="3" t="str">
        <f t="shared" si="1"/>
        <v>I</v>
      </c>
      <c r="C13" s="10">
        <f t="shared" si="2"/>
        <v>26765.343000000001</v>
      </c>
      <c r="D13" s="12" t="str">
        <f t="shared" si="3"/>
        <v>vis</v>
      </c>
      <c r="E13" s="46">
        <f>VLOOKUP(C13,Active!C$21:E$972,3,FALSE)</f>
        <v>-21512.679369442118</v>
      </c>
      <c r="F13" s="3" t="s">
        <v>52</v>
      </c>
      <c r="G13" s="12" t="str">
        <f t="shared" si="4"/>
        <v>26765.343</v>
      </c>
      <c r="H13" s="10">
        <f t="shared" si="5"/>
        <v>-22564</v>
      </c>
      <c r="I13" s="47" t="s">
        <v>54</v>
      </c>
      <c r="J13" s="48" t="s">
        <v>55</v>
      </c>
      <c r="K13" s="47">
        <v>-22564</v>
      </c>
      <c r="L13" s="47" t="s">
        <v>56</v>
      </c>
      <c r="M13" s="48" t="s">
        <v>57</v>
      </c>
      <c r="N13" s="48"/>
      <c r="O13" s="49" t="s">
        <v>58</v>
      </c>
      <c r="P13" s="49" t="s">
        <v>59</v>
      </c>
    </row>
    <row r="14" spans="1:16" ht="12.75" customHeight="1" thickBot="1" x14ac:dyDescent="0.25">
      <c r="A14" s="10" t="str">
        <f t="shared" si="0"/>
        <v> VSS 2.89 </v>
      </c>
      <c r="B14" s="3" t="str">
        <f t="shared" si="1"/>
        <v>I</v>
      </c>
      <c r="C14" s="10">
        <f t="shared" si="2"/>
        <v>27424.507000000001</v>
      </c>
      <c r="D14" s="12" t="str">
        <f t="shared" si="3"/>
        <v>vis</v>
      </c>
      <c r="E14" s="46">
        <f>VLOOKUP(C14,Active!C$21:E$972,3,FALSE)</f>
        <v>-20961.665136916792</v>
      </c>
      <c r="F14" s="3" t="s">
        <v>52</v>
      </c>
      <c r="G14" s="12" t="str">
        <f t="shared" si="4"/>
        <v>27424.507</v>
      </c>
      <c r="H14" s="10">
        <f t="shared" si="5"/>
        <v>-22013</v>
      </c>
      <c r="I14" s="47" t="s">
        <v>60</v>
      </c>
      <c r="J14" s="48" t="s">
        <v>61</v>
      </c>
      <c r="K14" s="47">
        <v>-22013</v>
      </c>
      <c r="L14" s="47" t="s">
        <v>62</v>
      </c>
      <c r="M14" s="48" t="s">
        <v>57</v>
      </c>
      <c r="N14" s="48"/>
      <c r="O14" s="49" t="s">
        <v>58</v>
      </c>
      <c r="P14" s="49" t="s">
        <v>59</v>
      </c>
    </row>
    <row r="15" spans="1:16" ht="12.75" customHeight="1" thickBot="1" x14ac:dyDescent="0.25">
      <c r="A15" s="10" t="str">
        <f t="shared" si="0"/>
        <v> VSS 2.89 </v>
      </c>
      <c r="B15" s="3" t="str">
        <f t="shared" si="1"/>
        <v>I</v>
      </c>
      <c r="C15" s="10">
        <f t="shared" si="2"/>
        <v>28210.36</v>
      </c>
      <c r="D15" s="12" t="str">
        <f t="shared" si="3"/>
        <v>vis</v>
      </c>
      <c r="E15" s="46">
        <f>VLOOKUP(C15,Active!C$21:E$972,3,FALSE)</f>
        <v>-20304.747908923877</v>
      </c>
      <c r="F15" s="3" t="s">
        <v>52</v>
      </c>
      <c r="G15" s="12" t="str">
        <f t="shared" si="4"/>
        <v>28210.360</v>
      </c>
      <c r="H15" s="10">
        <f t="shared" si="5"/>
        <v>-21356</v>
      </c>
      <c r="I15" s="47" t="s">
        <v>63</v>
      </c>
      <c r="J15" s="48" t="s">
        <v>64</v>
      </c>
      <c r="K15" s="47">
        <v>-21356</v>
      </c>
      <c r="L15" s="47" t="s">
        <v>65</v>
      </c>
      <c r="M15" s="48" t="s">
        <v>57</v>
      </c>
      <c r="N15" s="48"/>
      <c r="O15" s="49" t="s">
        <v>58</v>
      </c>
      <c r="P15" s="49" t="s">
        <v>59</v>
      </c>
    </row>
    <row r="16" spans="1:16" ht="12.75" customHeight="1" thickBot="1" x14ac:dyDescent="0.25">
      <c r="A16" s="10" t="str">
        <f t="shared" si="0"/>
        <v> VSS 2.89 </v>
      </c>
      <c r="B16" s="3" t="str">
        <f t="shared" si="1"/>
        <v>I</v>
      </c>
      <c r="C16" s="10">
        <f t="shared" si="2"/>
        <v>28594.396000000001</v>
      </c>
      <c r="D16" s="12" t="str">
        <f t="shared" si="3"/>
        <v>vis</v>
      </c>
      <c r="E16" s="46">
        <f>VLOOKUP(C16,Active!C$21:E$972,3,FALSE)</f>
        <v>-19983.721120746584</v>
      </c>
      <c r="F16" s="3" t="s">
        <v>52</v>
      </c>
      <c r="G16" s="12" t="str">
        <f t="shared" si="4"/>
        <v>28594.396</v>
      </c>
      <c r="H16" s="10">
        <f t="shared" si="5"/>
        <v>-21035</v>
      </c>
      <c r="I16" s="47" t="s">
        <v>66</v>
      </c>
      <c r="J16" s="48" t="s">
        <v>67</v>
      </c>
      <c r="K16" s="47">
        <v>-21035</v>
      </c>
      <c r="L16" s="47" t="s">
        <v>68</v>
      </c>
      <c r="M16" s="48" t="s">
        <v>57</v>
      </c>
      <c r="N16" s="48"/>
      <c r="O16" s="49" t="s">
        <v>58</v>
      </c>
      <c r="P16" s="49" t="s">
        <v>59</v>
      </c>
    </row>
    <row r="17" spans="1:16" ht="12.75" customHeight="1" thickBot="1" x14ac:dyDescent="0.25">
      <c r="A17" s="10" t="str">
        <f t="shared" si="0"/>
        <v> VSS 2.89 </v>
      </c>
      <c r="B17" s="3" t="str">
        <f t="shared" si="1"/>
        <v>I</v>
      </c>
      <c r="C17" s="10">
        <f t="shared" si="2"/>
        <v>29229.57</v>
      </c>
      <c r="D17" s="12" t="str">
        <f t="shared" si="3"/>
        <v>vis</v>
      </c>
      <c r="E17" s="46">
        <f>VLOOKUP(C17,Active!C$21:E$972,3,FALSE)</f>
        <v>-19452.760822353408</v>
      </c>
      <c r="F17" s="3" t="s">
        <v>52</v>
      </c>
      <c r="G17" s="12" t="str">
        <f t="shared" si="4"/>
        <v>29229.570</v>
      </c>
      <c r="H17" s="10">
        <f t="shared" si="5"/>
        <v>-20504</v>
      </c>
      <c r="I17" s="47" t="s">
        <v>69</v>
      </c>
      <c r="J17" s="48" t="s">
        <v>70</v>
      </c>
      <c r="K17" s="47">
        <v>-20504</v>
      </c>
      <c r="L17" s="47" t="s">
        <v>71</v>
      </c>
      <c r="M17" s="48" t="s">
        <v>57</v>
      </c>
      <c r="N17" s="48"/>
      <c r="O17" s="49" t="s">
        <v>58</v>
      </c>
      <c r="P17" s="49" t="s">
        <v>59</v>
      </c>
    </row>
    <row r="18" spans="1:16" ht="12.75" customHeight="1" thickBot="1" x14ac:dyDescent="0.25">
      <c r="A18" s="10" t="str">
        <f t="shared" si="0"/>
        <v> VSS 2.89 </v>
      </c>
      <c r="B18" s="3" t="str">
        <f t="shared" si="1"/>
        <v>II</v>
      </c>
      <c r="C18" s="10">
        <f t="shared" si="2"/>
        <v>29634.595000000001</v>
      </c>
      <c r="D18" s="12" t="str">
        <f t="shared" si="3"/>
        <v>vis</v>
      </c>
      <c r="E18" s="46">
        <f>VLOOKUP(C18,Active!C$21:E$972,3,FALSE)</f>
        <v>-19114.188722650495</v>
      </c>
      <c r="F18" s="3" t="s">
        <v>52</v>
      </c>
      <c r="G18" s="12" t="str">
        <f t="shared" si="4"/>
        <v>29634.595</v>
      </c>
      <c r="H18" s="10">
        <f t="shared" si="5"/>
        <v>-20165.5</v>
      </c>
      <c r="I18" s="47" t="s">
        <v>72</v>
      </c>
      <c r="J18" s="48" t="s">
        <v>73</v>
      </c>
      <c r="K18" s="47">
        <v>-20165.5</v>
      </c>
      <c r="L18" s="47" t="s">
        <v>74</v>
      </c>
      <c r="M18" s="48" t="s">
        <v>57</v>
      </c>
      <c r="N18" s="48"/>
      <c r="O18" s="49" t="s">
        <v>58</v>
      </c>
      <c r="P18" s="49" t="s">
        <v>59</v>
      </c>
    </row>
    <row r="19" spans="1:16" ht="12.75" customHeight="1" thickBot="1" x14ac:dyDescent="0.25">
      <c r="A19" s="10" t="str">
        <f t="shared" si="0"/>
        <v> VSS 2.89 </v>
      </c>
      <c r="B19" s="3" t="str">
        <f t="shared" si="1"/>
        <v>II</v>
      </c>
      <c r="C19" s="10">
        <f t="shared" si="2"/>
        <v>29640.506000000001</v>
      </c>
      <c r="D19" s="12" t="str">
        <f t="shared" si="3"/>
        <v>vis</v>
      </c>
      <c r="E19" s="46">
        <f>VLOOKUP(C19,Active!C$21:E$972,3,FALSE)</f>
        <v>-19109.247546966664</v>
      </c>
      <c r="F19" s="3" t="s">
        <v>52</v>
      </c>
      <c r="G19" s="12" t="str">
        <f t="shared" si="4"/>
        <v>29640.506</v>
      </c>
      <c r="H19" s="10">
        <f t="shared" si="5"/>
        <v>-20160.5</v>
      </c>
      <c r="I19" s="47" t="s">
        <v>75</v>
      </c>
      <c r="J19" s="48" t="s">
        <v>76</v>
      </c>
      <c r="K19" s="47">
        <v>-20160.5</v>
      </c>
      <c r="L19" s="47" t="s">
        <v>77</v>
      </c>
      <c r="M19" s="48" t="s">
        <v>57</v>
      </c>
      <c r="N19" s="48"/>
      <c r="O19" s="49" t="s">
        <v>58</v>
      </c>
      <c r="P19" s="49" t="s">
        <v>59</v>
      </c>
    </row>
    <row r="20" spans="1:16" ht="12.75" customHeight="1" thickBot="1" x14ac:dyDescent="0.25">
      <c r="A20" s="10" t="str">
        <f t="shared" si="0"/>
        <v> VSS 2.89 </v>
      </c>
      <c r="B20" s="3" t="str">
        <f t="shared" si="1"/>
        <v>I</v>
      </c>
      <c r="C20" s="10">
        <f t="shared" si="2"/>
        <v>29691.383999999998</v>
      </c>
      <c r="D20" s="12" t="str">
        <f t="shared" si="3"/>
        <v>vis</v>
      </c>
      <c r="E20" s="46">
        <f>VLOOKUP(C20,Active!C$21:E$972,3,FALSE)</f>
        <v>-19066.717156771778</v>
      </c>
      <c r="F20" s="3" t="s">
        <v>52</v>
      </c>
      <c r="G20" s="12" t="str">
        <f t="shared" si="4"/>
        <v>29691.384</v>
      </c>
      <c r="H20" s="10">
        <f t="shared" si="5"/>
        <v>-20118</v>
      </c>
      <c r="I20" s="47" t="s">
        <v>78</v>
      </c>
      <c r="J20" s="48" t="s">
        <v>79</v>
      </c>
      <c r="K20" s="47">
        <v>-20118</v>
      </c>
      <c r="L20" s="47" t="s">
        <v>80</v>
      </c>
      <c r="M20" s="48" t="s">
        <v>57</v>
      </c>
      <c r="N20" s="48"/>
      <c r="O20" s="49" t="s">
        <v>58</v>
      </c>
      <c r="P20" s="49" t="s">
        <v>59</v>
      </c>
    </row>
    <row r="21" spans="1:16" ht="12.75" customHeight="1" thickBot="1" x14ac:dyDescent="0.25">
      <c r="A21" s="10" t="str">
        <f t="shared" si="0"/>
        <v> VSS 2.89 </v>
      </c>
      <c r="B21" s="3" t="str">
        <f t="shared" si="1"/>
        <v>I</v>
      </c>
      <c r="C21" s="10">
        <f t="shared" si="2"/>
        <v>30326.563999999998</v>
      </c>
      <c r="D21" s="12" t="str">
        <f t="shared" si="3"/>
        <v>vis</v>
      </c>
      <c r="E21" s="46">
        <f>VLOOKUP(C21,Active!C$21:E$972,3,FALSE)</f>
        <v>-18535.751842805246</v>
      </c>
      <c r="F21" s="3" t="s">
        <v>52</v>
      </c>
      <c r="G21" s="12" t="str">
        <f t="shared" si="4"/>
        <v>30326.564</v>
      </c>
      <c r="H21" s="10">
        <f t="shared" si="5"/>
        <v>-19587</v>
      </c>
      <c r="I21" s="47" t="s">
        <v>81</v>
      </c>
      <c r="J21" s="48" t="s">
        <v>82</v>
      </c>
      <c r="K21" s="47">
        <v>-19587</v>
      </c>
      <c r="L21" s="47" t="s">
        <v>83</v>
      </c>
      <c r="M21" s="48" t="s">
        <v>57</v>
      </c>
      <c r="N21" s="48"/>
      <c r="O21" s="49" t="s">
        <v>58</v>
      </c>
      <c r="P21" s="49" t="s">
        <v>59</v>
      </c>
    </row>
    <row r="22" spans="1:16" ht="12.75" customHeight="1" thickBot="1" x14ac:dyDescent="0.25">
      <c r="A22" s="10" t="str">
        <f t="shared" si="0"/>
        <v> VSS 2.89 </v>
      </c>
      <c r="B22" s="3" t="str">
        <f t="shared" si="1"/>
        <v>I</v>
      </c>
      <c r="C22" s="10">
        <f t="shared" si="2"/>
        <v>30704.589</v>
      </c>
      <c r="D22" s="12" t="str">
        <f t="shared" si="3"/>
        <v>vis</v>
      </c>
      <c r="E22" s="46">
        <f>VLOOKUP(C22,Active!C$21:E$972,3,FALSE)</f>
        <v>-18219.74982320104</v>
      </c>
      <c r="F22" s="3" t="s">
        <v>52</v>
      </c>
      <c r="G22" s="12" t="str">
        <f t="shared" si="4"/>
        <v>30704.589</v>
      </c>
      <c r="H22" s="10">
        <f t="shared" si="5"/>
        <v>-19271</v>
      </c>
      <c r="I22" s="47" t="s">
        <v>84</v>
      </c>
      <c r="J22" s="48" t="s">
        <v>85</v>
      </c>
      <c r="K22" s="47">
        <v>-19271</v>
      </c>
      <c r="L22" s="47" t="s">
        <v>86</v>
      </c>
      <c r="M22" s="48" t="s">
        <v>57</v>
      </c>
      <c r="N22" s="48"/>
      <c r="O22" s="49" t="s">
        <v>58</v>
      </c>
      <c r="P22" s="49" t="s">
        <v>59</v>
      </c>
    </row>
    <row r="23" spans="1:16" ht="12.75" customHeight="1" thickBot="1" x14ac:dyDescent="0.25">
      <c r="A23" s="10" t="str">
        <f t="shared" si="0"/>
        <v> VSS 2.89 </v>
      </c>
      <c r="B23" s="3" t="str">
        <f t="shared" si="1"/>
        <v>I</v>
      </c>
      <c r="C23" s="10">
        <f t="shared" si="2"/>
        <v>30734.526000000002</v>
      </c>
      <c r="D23" s="12" t="str">
        <f t="shared" si="3"/>
        <v>vis</v>
      </c>
      <c r="E23" s="46">
        <f>VLOOKUP(C23,Active!C$21:E$972,3,FALSE)</f>
        <v>-18194.724619944929</v>
      </c>
      <c r="F23" s="3" t="s">
        <v>52</v>
      </c>
      <c r="G23" s="12" t="str">
        <f t="shared" si="4"/>
        <v>30734.526</v>
      </c>
      <c r="H23" s="10">
        <f t="shared" si="5"/>
        <v>-19246</v>
      </c>
      <c r="I23" s="47" t="s">
        <v>87</v>
      </c>
      <c r="J23" s="48" t="s">
        <v>88</v>
      </c>
      <c r="K23" s="47">
        <v>-19246</v>
      </c>
      <c r="L23" s="47" t="s">
        <v>89</v>
      </c>
      <c r="M23" s="48" t="s">
        <v>57</v>
      </c>
      <c r="N23" s="48"/>
      <c r="O23" s="49" t="s">
        <v>58</v>
      </c>
      <c r="P23" s="49" t="s">
        <v>59</v>
      </c>
    </row>
    <row r="24" spans="1:16" ht="12.75" customHeight="1" thickBot="1" x14ac:dyDescent="0.25">
      <c r="A24" s="10" t="str">
        <f t="shared" si="0"/>
        <v> VSS 2.89 </v>
      </c>
      <c r="B24" s="3" t="str">
        <f t="shared" si="1"/>
        <v>I</v>
      </c>
      <c r="C24" s="10">
        <f t="shared" si="2"/>
        <v>31448.585999999999</v>
      </c>
      <c r="D24" s="12" t="str">
        <f t="shared" si="3"/>
        <v>vis</v>
      </c>
      <c r="E24" s="46">
        <f>VLOOKUP(C24,Active!C$21:E$972,3,FALSE)</f>
        <v>-17597.821234934472</v>
      </c>
      <c r="F24" s="3" t="s">
        <v>52</v>
      </c>
      <c r="G24" s="12" t="str">
        <f t="shared" si="4"/>
        <v>31448.586</v>
      </c>
      <c r="H24" s="10">
        <f t="shared" si="5"/>
        <v>-18649</v>
      </c>
      <c r="I24" s="47" t="s">
        <v>90</v>
      </c>
      <c r="J24" s="48" t="s">
        <v>91</v>
      </c>
      <c r="K24" s="47">
        <v>-18649</v>
      </c>
      <c r="L24" s="47" t="s">
        <v>92</v>
      </c>
      <c r="M24" s="48" t="s">
        <v>57</v>
      </c>
      <c r="N24" s="48"/>
      <c r="O24" s="49" t="s">
        <v>58</v>
      </c>
      <c r="P24" s="49" t="s">
        <v>59</v>
      </c>
    </row>
    <row r="25" spans="1:16" ht="12.75" customHeight="1" thickBot="1" x14ac:dyDescent="0.25">
      <c r="A25" s="10" t="str">
        <f t="shared" si="0"/>
        <v> VSS 2.89 </v>
      </c>
      <c r="B25" s="3" t="str">
        <f t="shared" si="1"/>
        <v>I</v>
      </c>
      <c r="C25" s="10">
        <f t="shared" si="2"/>
        <v>33630.569000000003</v>
      </c>
      <c r="D25" s="12" t="str">
        <f t="shared" si="3"/>
        <v>vis</v>
      </c>
      <c r="E25" s="46">
        <f>VLOOKUP(C25,Active!C$21:E$972,3,FALSE)</f>
        <v>-15773.838602193142</v>
      </c>
      <c r="F25" s="3" t="s">
        <v>52</v>
      </c>
      <c r="G25" s="12" t="str">
        <f t="shared" si="4"/>
        <v>33630.569</v>
      </c>
      <c r="H25" s="10">
        <f t="shared" si="5"/>
        <v>-16825</v>
      </c>
      <c r="I25" s="47" t="s">
        <v>93</v>
      </c>
      <c r="J25" s="48" t="s">
        <v>94</v>
      </c>
      <c r="K25" s="47">
        <v>-16825</v>
      </c>
      <c r="L25" s="47" t="s">
        <v>95</v>
      </c>
      <c r="M25" s="48" t="s">
        <v>57</v>
      </c>
      <c r="N25" s="48"/>
      <c r="O25" s="49" t="s">
        <v>58</v>
      </c>
      <c r="P25" s="49" t="s">
        <v>59</v>
      </c>
    </row>
    <row r="26" spans="1:16" ht="12.75" customHeight="1" thickBot="1" x14ac:dyDescent="0.25">
      <c r="A26" s="10" t="str">
        <f t="shared" si="0"/>
        <v> VSS 2.89 </v>
      </c>
      <c r="B26" s="3" t="str">
        <f t="shared" si="1"/>
        <v>I</v>
      </c>
      <c r="C26" s="10">
        <f t="shared" si="2"/>
        <v>33690.410000000003</v>
      </c>
      <c r="D26" s="12" t="str">
        <f t="shared" si="3"/>
        <v>vis</v>
      </c>
      <c r="E26" s="46">
        <f>VLOOKUP(C26,Active!C$21:E$972,3,FALSE)</f>
        <v>-15723.815781334375</v>
      </c>
      <c r="F26" s="3" t="s">
        <v>52</v>
      </c>
      <c r="G26" s="12" t="str">
        <f t="shared" si="4"/>
        <v>33690.41</v>
      </c>
      <c r="H26" s="10">
        <f t="shared" si="5"/>
        <v>-16775</v>
      </c>
      <c r="I26" s="47" t="s">
        <v>96</v>
      </c>
      <c r="J26" s="48" t="s">
        <v>97</v>
      </c>
      <c r="K26" s="47">
        <v>-16775</v>
      </c>
      <c r="L26" s="47" t="s">
        <v>98</v>
      </c>
      <c r="M26" s="48" t="s">
        <v>57</v>
      </c>
      <c r="N26" s="48"/>
      <c r="O26" s="49" t="s">
        <v>58</v>
      </c>
      <c r="P26" s="49" t="s">
        <v>59</v>
      </c>
    </row>
    <row r="27" spans="1:16" ht="12.75" customHeight="1" thickBot="1" x14ac:dyDescent="0.25">
      <c r="A27" s="10" t="str">
        <f t="shared" si="0"/>
        <v> VSS 2.89 </v>
      </c>
      <c r="B27" s="3" t="str">
        <f t="shared" si="1"/>
        <v>I</v>
      </c>
      <c r="C27" s="10">
        <f t="shared" si="2"/>
        <v>33708.358</v>
      </c>
      <c r="D27" s="12" t="str">
        <f t="shared" si="3"/>
        <v>vis</v>
      </c>
      <c r="E27" s="46">
        <f>VLOOKUP(C27,Active!C$21:E$972,3,FALSE)</f>
        <v>-15708.812529570985</v>
      </c>
      <c r="F27" s="3" t="s">
        <v>52</v>
      </c>
      <c r="G27" s="12" t="str">
        <f t="shared" si="4"/>
        <v>33708.358</v>
      </c>
      <c r="H27" s="10">
        <f t="shared" si="5"/>
        <v>-16760</v>
      </c>
      <c r="I27" s="47" t="s">
        <v>99</v>
      </c>
      <c r="J27" s="48" t="s">
        <v>100</v>
      </c>
      <c r="K27" s="47">
        <v>-16760</v>
      </c>
      <c r="L27" s="47" t="s">
        <v>101</v>
      </c>
      <c r="M27" s="48" t="s">
        <v>57</v>
      </c>
      <c r="N27" s="48"/>
      <c r="O27" s="49" t="s">
        <v>58</v>
      </c>
      <c r="P27" s="49" t="s">
        <v>59</v>
      </c>
    </row>
    <row r="28" spans="1:16" ht="12.75" customHeight="1" thickBot="1" x14ac:dyDescent="0.25">
      <c r="A28" s="10" t="str">
        <f t="shared" si="0"/>
        <v> BBS 57 </v>
      </c>
      <c r="B28" s="3" t="str">
        <f t="shared" si="1"/>
        <v>I</v>
      </c>
      <c r="C28" s="10">
        <f t="shared" si="2"/>
        <v>44925.597999999998</v>
      </c>
      <c r="D28" s="12" t="str">
        <f t="shared" si="3"/>
        <v>vis</v>
      </c>
      <c r="E28" s="46">
        <f>VLOOKUP(C28,Active!C$21:E$972,3,FALSE)</f>
        <v>-6331.9975189630495</v>
      </c>
      <c r="F28" s="3" t="s">
        <v>52</v>
      </c>
      <c r="G28" s="12" t="str">
        <f t="shared" si="4"/>
        <v>44925.598</v>
      </c>
      <c r="H28" s="10">
        <f t="shared" si="5"/>
        <v>-7383</v>
      </c>
      <c r="I28" s="47" t="s">
        <v>102</v>
      </c>
      <c r="J28" s="48" t="s">
        <v>103</v>
      </c>
      <c r="K28" s="47">
        <v>-7383</v>
      </c>
      <c r="L28" s="47" t="s">
        <v>104</v>
      </c>
      <c r="M28" s="48" t="s">
        <v>105</v>
      </c>
      <c r="N28" s="48"/>
      <c r="O28" s="49" t="s">
        <v>106</v>
      </c>
      <c r="P28" s="49" t="s">
        <v>107</v>
      </c>
    </row>
    <row r="29" spans="1:16" ht="12.75" customHeight="1" thickBot="1" x14ac:dyDescent="0.25">
      <c r="A29" s="10" t="str">
        <f t="shared" si="0"/>
        <v>IBVS 5806 </v>
      </c>
      <c r="B29" s="3" t="str">
        <f t="shared" si="1"/>
        <v>I</v>
      </c>
      <c r="C29" s="10">
        <f t="shared" si="2"/>
        <v>54045.981899999999</v>
      </c>
      <c r="D29" s="12" t="str">
        <f t="shared" si="3"/>
        <v>vis</v>
      </c>
      <c r="E29" s="46" t="e">
        <f>VLOOKUP(C29,Active!C$21:E$972,3,FALSE)</f>
        <v>#N/A</v>
      </c>
      <c r="F29" s="3" t="s">
        <v>52</v>
      </c>
      <c r="G29" s="12" t="str">
        <f t="shared" si="4"/>
        <v>54045.9819</v>
      </c>
      <c r="H29" s="10">
        <f t="shared" si="5"/>
        <v>241</v>
      </c>
      <c r="I29" s="47" t="s">
        <v>108</v>
      </c>
      <c r="J29" s="48" t="s">
        <v>109</v>
      </c>
      <c r="K29" s="47">
        <v>241</v>
      </c>
      <c r="L29" s="47" t="s">
        <v>110</v>
      </c>
      <c r="M29" s="48" t="s">
        <v>111</v>
      </c>
      <c r="N29" s="48" t="s">
        <v>112</v>
      </c>
      <c r="O29" s="49" t="s">
        <v>113</v>
      </c>
      <c r="P29" s="50" t="s">
        <v>114</v>
      </c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</sheetData>
  <phoneticPr fontId="8" type="noConversion"/>
  <hyperlinks>
    <hyperlink ref="P29" r:id="rId1" display="http://www.konkoly.hu/cgi-bin/IBVS?5806"/>
    <hyperlink ref="P11" r:id="rId2" display="http://www.konkoly.hu/cgi-bin/IBVS?5992"/>
    <hyperlink ref="P12" r:id="rId3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2024-01-26T04:43:01Z</dcterms:modified>
</cp:coreProperties>
</file>