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88747C5-0C69-4BF4-803E-8444B81C0D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7" i="1" l="1"/>
  <c r="Q28" i="1"/>
  <c r="Q29" i="1"/>
  <c r="Q30" i="1"/>
  <c r="C17" i="1"/>
  <c r="F16" i="1"/>
  <c r="F17" i="1" s="1"/>
  <c r="D9" i="1"/>
  <c r="C9" i="1"/>
  <c r="Q21" i="1"/>
  <c r="Q23" i="1"/>
  <c r="Q24" i="1"/>
  <c r="Q26" i="1"/>
  <c r="G15" i="2"/>
  <c r="C15" i="2"/>
  <c r="G11" i="2"/>
  <c r="C11" i="2"/>
  <c r="G14" i="2"/>
  <c r="C14" i="2"/>
  <c r="G13" i="2"/>
  <c r="C13" i="2"/>
  <c r="G12" i="2"/>
  <c r="C12" i="2"/>
  <c r="H15" i="2"/>
  <c r="D15" i="2"/>
  <c r="B15" i="2"/>
  <c r="A15" i="2"/>
  <c r="H11" i="2"/>
  <c r="B11" i="2"/>
  <c r="D11" i="2"/>
  <c r="A11" i="2"/>
  <c r="H14" i="2"/>
  <c r="D14" i="2"/>
  <c r="B14" i="2"/>
  <c r="A14" i="2"/>
  <c r="H13" i="2"/>
  <c r="B13" i="2"/>
  <c r="D13" i="2"/>
  <c r="A13" i="2"/>
  <c r="H12" i="2"/>
  <c r="D12" i="2"/>
  <c r="B12" i="2"/>
  <c r="A12" i="2"/>
  <c r="Q25" i="1"/>
  <c r="C7" i="1"/>
  <c r="E27" i="1"/>
  <c r="F27" i="1"/>
  <c r="C8" i="1"/>
  <c r="Q22" i="1"/>
  <c r="E11" i="2"/>
  <c r="E25" i="1"/>
  <c r="F25" i="1"/>
  <c r="E29" i="1"/>
  <c r="F29" i="1"/>
  <c r="G29" i="1"/>
  <c r="K29" i="1"/>
  <c r="E22" i="1"/>
  <c r="F22" i="1"/>
  <c r="E24" i="1"/>
  <c r="F24" i="1"/>
  <c r="G24" i="1"/>
  <c r="I24" i="1"/>
  <c r="E28" i="1"/>
  <c r="F28" i="1"/>
  <c r="G28" i="1"/>
  <c r="K28" i="1"/>
  <c r="E21" i="1"/>
  <c r="F21" i="1"/>
  <c r="G21" i="1"/>
  <c r="E26" i="1"/>
  <c r="F26" i="1"/>
  <c r="G26" i="1"/>
  <c r="I26" i="1"/>
  <c r="E30" i="1"/>
  <c r="F30" i="1"/>
  <c r="G30" i="1"/>
  <c r="K30" i="1"/>
  <c r="G27" i="1"/>
  <c r="K27" i="1"/>
  <c r="G25" i="1"/>
  <c r="K25" i="1"/>
  <c r="E23" i="1"/>
  <c r="F23" i="1"/>
  <c r="G23" i="1"/>
  <c r="I23" i="1"/>
  <c r="G22" i="1"/>
  <c r="H22" i="1"/>
  <c r="I21" i="1"/>
  <c r="E12" i="2"/>
  <c r="E15" i="2"/>
  <c r="E13" i="2"/>
  <c r="E14" i="2"/>
  <c r="C11" i="1"/>
  <c r="C12" i="1"/>
  <c r="C16" i="1" l="1"/>
  <c r="D18" i="1" s="1"/>
  <c r="O22" i="1"/>
  <c r="O30" i="1"/>
  <c r="O21" i="1"/>
  <c r="O28" i="1"/>
  <c r="O23" i="1"/>
  <c r="O27" i="1"/>
  <c r="C15" i="1"/>
  <c r="O24" i="1"/>
  <c r="O29" i="1"/>
  <c r="O26" i="1"/>
  <c r="O25" i="1"/>
  <c r="C18" i="1" l="1"/>
  <c r="F18" i="1"/>
  <c r="F19" i="1" s="1"/>
</calcChain>
</file>

<file path=xl/sharedStrings.xml><?xml version="1.0" encoding="utf-8"?>
<sst xmlns="http://schemas.openxmlformats.org/spreadsheetml/2006/main" count="120" uniqueCount="83">
  <si>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</si>
  <si>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</si>
  <si>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</si>
  <si>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</si>
  <si>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</si>
  <si>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</si>
  <si>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</si>
  <si>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</si>
  <si>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</si>
  <si>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</si>
  <si>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</si>
  <si>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</si>
  <si>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</si>
  <si>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</si>
  <si>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</si>
  <si>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</si>
  <si>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</si>
  <si>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</si>
  <si>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</si>
  <si>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</si>
  <si>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</si>
  <si>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</si>
  <si>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</si>
  <si>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</si>
  <si>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</si>
  <si>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</si>
  <si>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</si>
  <si>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</si>
  <si>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</si>
  <si>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IBVS 5690</t>
  </si>
  <si>
    <t>I</t>
  </si>
  <si>
    <t>SZ CMa / GSC 5965-1025</t>
  </si>
  <si>
    <t>EA/SD: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</si>
  <si>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</si>
  <si>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</si>
  <si>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</si>
  <si>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</si>
  <si>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</si>
  <si>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</si>
  <si>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</si>
  <si>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</si>
  <si>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</si>
  <si>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</si>
  <si>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</si>
  <si>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2426743.336 </t>
  </si>
  <si>
    <t> 05.02.1932 20:03 </t>
  </si>
  <si>
    <t> 0.020 </t>
  </si>
  <si>
    <t>V </t>
  </si>
  <si>
    <t> N.Florja </t>
  </si>
  <si>
    <t> PSMO 8.2.52 </t>
  </si>
  <si>
    <t>2427037.516 </t>
  </si>
  <si>
    <t> 26.11.1932 00:23 </t>
  </si>
  <si>
    <t> 0.026 </t>
  </si>
  <si>
    <t>2427857.213 </t>
  </si>
  <si>
    <t> 23.02.1935 17:06 </t>
  </si>
  <si>
    <t> 0.035 </t>
  </si>
  <si>
    <t>2453441.7343 </t>
  </si>
  <si>
    <t> 12.03.2005 05:37 </t>
  </si>
  <si>
    <t> 0.0116 </t>
  </si>
  <si>
    <t>E </t>
  </si>
  <si>
    <t>?</t>
  </si>
  <si>
    <t> T. Krajci </t>
  </si>
  <si>
    <t>IBVS 5690 </t>
  </si>
  <si>
    <t>2454844.0521 </t>
  </si>
  <si>
    <t> 12.01.2009 13:15 </t>
  </si>
  <si>
    <t> 0.0061 </t>
  </si>
  <si>
    <t>C </t>
  </si>
  <si>
    <t> S.Kiyota </t>
  </si>
  <si>
    <t>VSB 50 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</si>
  <si>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</si>
  <si>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</si>
  <si>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</si>
  <si>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</si>
  <si>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</si>
  <si>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</si>
  <si>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</si>
  <si>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</si>
  <si>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</si>
  <si>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# of data points:</t>
  </si>
  <si>
    <t>VSB 069</t>
  </si>
  <si>
    <t>Ic</t>
  </si>
  <si>
    <t>U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</si>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</sst>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0" fillId="2" borderId="12" xfId="7" applyFill="1" applyBorder="1" applyAlignment="1" applyProtection="1">
      <alignment horizontal="right" vertical="top" wrapText="1"/>
    </xf>
    <xf numFmtId="0" fontId="11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7" fillId="0" borderId="0" xfId="0" applyFont="1">
      <alignment vertical="top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/>
    </xf>
    <xf numFmtId="0" fontId="15" fillId="0" borderId="0" xfId="0" applyFont="1">
      <alignment vertical="top"/>
    </xf>
    <xf numFmtId="0" fontId="8" fillId="0" borderId="0" xfId="0" applyFont="1">
      <alignment vertical="top"/>
    </xf>
    <xf numFmtId="22" fontId="7" fillId="0" borderId="0" xfId="0" applyNumberFormat="1" applyFont="1">
      <alignment vertical="top"/>
    </xf>
    <xf numFmtId="0" fontId="17" fillId="0" borderId="0" xfId="8" applyFont="1"/>
    <xf numFmtId="0" fontId="17" fillId="0" borderId="0" xfId="8" applyFont="1" applyAlignment="1">
      <alignment horizontal="center"/>
    </xf>
    <xf numFmtId="0" fontId="17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SZ CMa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5-4E0F-8002-5B7DC0D415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Active!$D$22:$D$44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-1.0000000002037268E-3</c:v>
                </c:pt>
                <c:pt idx="2">
                  <c:v>2.255300001706928E-3</c:v>
                </c:pt>
                <c:pt idx="3">
                  <c:v>2.8889999994134996E-3</c:v>
                </c:pt>
                <c:pt idx="5">
                  <c:v>-0.30423110000265297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5-4E0F-8002-5B7DC0D415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65-4E0F-8002-5B7DC0D415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-0.28434520000155317</c:v>
                </c:pt>
                <c:pt idx="6">
                  <c:v>-0.34284580000530696</c:v>
                </c:pt>
                <c:pt idx="7">
                  <c:v>-0.34214580000116257</c:v>
                </c:pt>
                <c:pt idx="8">
                  <c:v>-0.34204580000368878</c:v>
                </c:pt>
                <c:pt idx="9">
                  <c:v>-0.34184580000146525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65-4E0F-8002-5B7DC0D415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65-4E0F-8002-5B7DC0D415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65-4E0F-8002-5B7DC0D415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2.9999999999999997E-4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65-4E0F-8002-5B7DC0D415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0</c:v>
                </c:pt>
                <c:pt idx="2">
                  <c:v>103</c:v>
                </c:pt>
                <c:pt idx="3">
                  <c:v>390</c:v>
                </c:pt>
                <c:pt idx="4">
                  <c:v>9348</c:v>
                </c:pt>
                <c:pt idx="5">
                  <c:v>9839</c:v>
                </c:pt>
                <c:pt idx="6">
                  <c:v>11242</c:v>
                </c:pt>
                <c:pt idx="7">
                  <c:v>11242</c:v>
                </c:pt>
                <c:pt idx="8">
                  <c:v>11242</c:v>
                </c:pt>
                <c:pt idx="9">
                  <c:v>11242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4.6219695535011374E-3</c:v>
                </c:pt>
                <c:pt idx="1">
                  <c:v>4.6219695535011374E-3</c:v>
                </c:pt>
                <c:pt idx="2">
                  <c:v>1.4362237571633979E-3</c:v>
                </c:pt>
                <c:pt idx="3">
                  <c:v>-7.4405630734087503E-3</c:v>
                </c:pt>
                <c:pt idx="4">
                  <c:v>-0.28450765864227739</c:v>
                </c:pt>
                <c:pt idx="5">
                  <c:v>-0.29969407792384856</c:v>
                </c:pt>
                <c:pt idx="6">
                  <c:v>-0.34308826580988594</c:v>
                </c:pt>
                <c:pt idx="7">
                  <c:v>-0.34308826580988594</c:v>
                </c:pt>
                <c:pt idx="8">
                  <c:v>-0.34308826580988594</c:v>
                </c:pt>
                <c:pt idx="9">
                  <c:v>-0.34308826580988594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65-4E0F-8002-5B7DC0D4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850880"/>
        <c:axId val="1"/>
      </c:scatterChart>
      <c:valAx>
        <c:axId val="563850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850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223162187371207"/>
          <c:y val="0.91874999999999996"/>
          <c:w val="0.8450421899741871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9524</xdr:rowOff>
    </xdr:from>
    <xdr:to>
      <xdr:col>19</xdr:col>
      <xdr:colOff>57150</xdr:colOff>
      <xdr:row>18</xdr:row>
      <xdr:rowOff>76199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58E72C-9712-0C93-116F-F446EC645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J40" sqref="J4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25</v>
      </c>
      <c r="B2" s="13" t="s">
        <v>32</v>
      </c>
    </row>
    <row r="4" spans="1:6" x14ac:dyDescent="0.2">
      <c r="A4" s="8" t="s">
        <v>0</v>
      </c>
      <c r="C4" s="3">
        <v>26743.337</v>
      </c>
      <c r="D4" s="4">
        <v>2.8560848999999999</v>
      </c>
    </row>
    <row r="5" spans="1:6" x14ac:dyDescent="0.2">
      <c r="A5" s="32" t="s">
        <v>70</v>
      </c>
      <c r="B5" s="17"/>
      <c r="C5" s="33">
        <v>-9.5</v>
      </c>
      <c r="D5" s="17" t="s">
        <v>71</v>
      </c>
    </row>
    <row r="6" spans="1:6" x14ac:dyDescent="0.2">
      <c r="A6" s="8" t="s">
        <v>1</v>
      </c>
    </row>
    <row r="7" spans="1:6" x14ac:dyDescent="0.2">
      <c r="A7" t="s">
        <v>2</v>
      </c>
      <c r="C7">
        <f>+C4</f>
        <v>26743.337</v>
      </c>
    </row>
    <row r="8" spans="1:6" x14ac:dyDescent="0.2">
      <c r="A8" t="s">
        <v>3</v>
      </c>
      <c r="C8">
        <f>+D4</f>
        <v>2.8560848999999999</v>
      </c>
    </row>
    <row r="9" spans="1:6" x14ac:dyDescent="0.2">
      <c r="A9" s="34" t="s">
        <v>72</v>
      </c>
      <c r="B9" s="35">
        <v>21</v>
      </c>
      <c r="C9" s="36" t="str">
        <f>"F"&amp;B9</f>
        <v>F21</v>
      </c>
      <c r="D9" s="37" t="str">
        <f>"G"&amp;B9</f>
        <v>G21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38">
        <f ca="1">INTERCEPT(INDIRECT($D$9):G978,INDIRECT($C$9):F978)</f>
        <v>4.6219695535011374E-3</v>
      </c>
      <c r="D11" s="6"/>
    </row>
    <row r="12" spans="1:6" x14ac:dyDescent="0.2">
      <c r="A12" t="s">
        <v>17</v>
      </c>
      <c r="C12" s="38">
        <f ca="1">SLOPE(INDIRECT($D$9):G978,INDIRECT($C$9):F978)</f>
        <v>-3.092957083823048E-5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5" t="s">
        <v>18</v>
      </c>
      <c r="C15" s="14">
        <f ca="1">(C7+C11)+(C8+C12)*INT(MAX(F21:F3533))</f>
        <v>58851.100357534189</v>
      </c>
      <c r="E15" s="41" t="s">
        <v>73</v>
      </c>
      <c r="F15" s="33">
        <v>1</v>
      </c>
    </row>
    <row r="16" spans="1:6" x14ac:dyDescent="0.2">
      <c r="A16" s="8" t="s">
        <v>4</v>
      </c>
      <c r="C16" s="15">
        <f ca="1">+C8+C12</f>
        <v>2.8560539704291616</v>
      </c>
      <c r="E16" s="41" t="s">
        <v>74</v>
      </c>
      <c r="F16" s="42">
        <f ca="1">NOW()+15018.5+$C$5/24</f>
        <v>60335.744438425922</v>
      </c>
    </row>
    <row r="17" spans="1:17" ht="13.5" thickBot="1" x14ac:dyDescent="0.25">
      <c r="A17" s="41" t="s">
        <v>78</v>
      </c>
      <c r="B17" s="17"/>
      <c r="C17" s="17">
        <f>COUNT(C21:C2177)</f>
        <v>10</v>
      </c>
      <c r="E17" s="41" t="s">
        <v>75</v>
      </c>
      <c r="F17" s="42">
        <f ca="1">ROUND(2*(F16-$C$7)/$C$8,0)/2+F15</f>
        <v>11762.5</v>
      </c>
    </row>
    <row r="18" spans="1:17" x14ac:dyDescent="0.2">
      <c r="A18" s="8" t="s">
        <v>5</v>
      </c>
      <c r="C18" s="3">
        <f ca="1">+C15</f>
        <v>58851.100357534189</v>
      </c>
      <c r="D18" s="4">
        <f ca="1">+C16</f>
        <v>2.8560539704291616</v>
      </c>
      <c r="E18" s="41" t="s">
        <v>76</v>
      </c>
      <c r="F18" s="37">
        <f ca="1">ROUND(2*(F16-$C$15)/$C$16,0)/2+F15</f>
        <v>521</v>
      </c>
    </row>
    <row r="19" spans="1:17" ht="13.5" thickTop="1" x14ac:dyDescent="0.2">
      <c r="E19" s="41" t="s">
        <v>77</v>
      </c>
      <c r="F19" s="43">
        <f ca="1">+$C$15+$C$16*F18-15018.5-$C$5/24</f>
        <v>45321.000309461117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40</v>
      </c>
      <c r="I20" s="10" t="s">
        <v>43</v>
      </c>
      <c r="J20" s="10" t="s">
        <v>37</v>
      </c>
      <c r="K20" s="10" t="s">
        <v>35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s="40" t="s">
        <v>49</v>
      </c>
      <c r="B21" s="31" t="s">
        <v>69</v>
      </c>
      <c r="C21" s="40">
        <v>26743.335999999999</v>
      </c>
      <c r="D21" s="40" t="s">
        <v>43</v>
      </c>
      <c r="E21">
        <f t="shared" ref="E21:E26" si="0">+(C21-C$7)/C$8</f>
        <v>-3.5012964782795038E-4</v>
      </c>
      <c r="F21">
        <f t="shared" ref="F21:F30" si="1">ROUND(2*E21,0)/2</f>
        <v>0</v>
      </c>
      <c r="G21">
        <f t="shared" ref="G21:G26" si="2">+C21-(C$7+F21*C$8)</f>
        <v>-1.0000000002037268E-3</v>
      </c>
      <c r="I21">
        <f>+G21</f>
        <v>-1.0000000002037268E-3</v>
      </c>
      <c r="O21">
        <f t="shared" ref="O21:O26" ca="1" si="3">+C$11+C$12*F21</f>
        <v>4.6219695535011374E-3</v>
      </c>
      <c r="Q21" s="2">
        <f t="shared" ref="Q21:Q26" si="4">+C21-15018.5</f>
        <v>11724.835999999999</v>
      </c>
    </row>
    <row r="22" spans="1:17" x14ac:dyDescent="0.2">
      <c r="A22" s="18" t="s">
        <v>12</v>
      </c>
      <c r="B22" s="6"/>
      <c r="C22" s="18">
        <v>26743.337</v>
      </c>
      <c r="D22" s="18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4.6219695535011374E-3</v>
      </c>
      <c r="Q22" s="2">
        <f t="shared" si="4"/>
        <v>11724.837</v>
      </c>
    </row>
    <row r="23" spans="1:17" x14ac:dyDescent="0.2">
      <c r="A23" s="40" t="s">
        <v>49</v>
      </c>
      <c r="B23" s="31" t="s">
        <v>30</v>
      </c>
      <c r="C23" s="40">
        <v>27037.516</v>
      </c>
      <c r="D23" s="40" t="s">
        <v>43</v>
      </c>
      <c r="E23">
        <f t="shared" si="0"/>
        <v>103.00078964739461</v>
      </c>
      <c r="F23">
        <f t="shared" si="1"/>
        <v>103</v>
      </c>
      <c r="G23">
        <f t="shared" si="2"/>
        <v>2.255300001706928E-3</v>
      </c>
      <c r="I23">
        <f>+G23</f>
        <v>2.255300001706928E-3</v>
      </c>
      <c r="O23">
        <f t="shared" ca="1" si="3"/>
        <v>1.4362237571633979E-3</v>
      </c>
      <c r="Q23" s="2">
        <f t="shared" si="4"/>
        <v>12019.016</v>
      </c>
    </row>
    <row r="24" spans="1:17" x14ac:dyDescent="0.2">
      <c r="A24" s="40" t="s">
        <v>49</v>
      </c>
      <c r="B24" s="31" t="s">
        <v>69</v>
      </c>
      <c r="C24" s="40">
        <v>27857.213</v>
      </c>
      <c r="D24" s="40" t="s">
        <v>43</v>
      </c>
      <c r="E24">
        <f t="shared" si="0"/>
        <v>390.00101152455244</v>
      </c>
      <c r="F24">
        <f t="shared" si="1"/>
        <v>390</v>
      </c>
      <c r="G24">
        <f t="shared" si="2"/>
        <v>2.8889999994134996E-3</v>
      </c>
      <c r="I24">
        <f>+G24</f>
        <v>2.8889999994134996E-3</v>
      </c>
      <c r="O24">
        <f t="shared" ca="1" si="3"/>
        <v>-7.4405630734087503E-3</v>
      </c>
      <c r="Q24" s="2">
        <f t="shared" si="4"/>
        <v>12838.713</v>
      </c>
    </row>
    <row r="25" spans="1:17" x14ac:dyDescent="0.2">
      <c r="A25" s="39" t="s">
        <v>29</v>
      </c>
      <c r="B25" s="11" t="s">
        <v>30</v>
      </c>
      <c r="C25" s="12">
        <v>53441.734299999996</v>
      </c>
      <c r="D25" s="12">
        <v>2.9999999999999997E-4</v>
      </c>
      <c r="E25">
        <f t="shared" si="0"/>
        <v>9347.9004423152819</v>
      </c>
      <c r="F25">
        <f t="shared" si="1"/>
        <v>9348</v>
      </c>
      <c r="G25">
        <f t="shared" si="2"/>
        <v>-0.28434520000155317</v>
      </c>
      <c r="K25">
        <f t="shared" ref="K25:K30" si="5">+G25</f>
        <v>-0.28434520000155317</v>
      </c>
      <c r="O25">
        <f t="shared" ca="1" si="3"/>
        <v>-0.28450765864227739</v>
      </c>
      <c r="Q25" s="2">
        <f t="shared" si="4"/>
        <v>38423.234299999996</v>
      </c>
    </row>
    <row r="26" spans="1:17" x14ac:dyDescent="0.2">
      <c r="A26" s="40" t="s">
        <v>68</v>
      </c>
      <c r="B26" s="31" t="s">
        <v>30</v>
      </c>
      <c r="C26" s="40">
        <v>54844.052100000001</v>
      </c>
      <c r="D26" s="40" t="s">
        <v>43</v>
      </c>
      <c r="E26">
        <f t="shared" si="0"/>
        <v>9838.8934796721205</v>
      </c>
      <c r="F26">
        <f t="shared" si="1"/>
        <v>9839</v>
      </c>
      <c r="G26">
        <f t="shared" si="2"/>
        <v>-0.30423110000265297</v>
      </c>
      <c r="I26">
        <f>+G26</f>
        <v>-0.30423110000265297</v>
      </c>
      <c r="O26">
        <f t="shared" ca="1" si="3"/>
        <v>-0.29969407792384856</v>
      </c>
      <c r="Q26" s="2">
        <f t="shared" si="4"/>
        <v>39825.552100000001</v>
      </c>
    </row>
    <row r="27" spans="1:17" x14ac:dyDescent="0.2">
      <c r="A27" s="44" t="s">
        <v>79</v>
      </c>
      <c r="B27" s="45" t="s">
        <v>69</v>
      </c>
      <c r="C27" s="46">
        <v>58851.100599999998</v>
      </c>
      <c r="D27" s="46" t="s">
        <v>80</v>
      </c>
      <c r="E27">
        <f>+(C27-C$7)/C$8</f>
        <v>11241.879959520811</v>
      </c>
      <c r="F27">
        <f t="shared" si="1"/>
        <v>11242</v>
      </c>
      <c r="G27">
        <f>+C27-(C$7+F27*C$8)</f>
        <v>-0.34284580000530696</v>
      </c>
      <c r="K27">
        <f t="shared" si="5"/>
        <v>-0.34284580000530696</v>
      </c>
      <c r="O27">
        <f ca="1">+C$11+C$12*F27</f>
        <v>-0.34308826580988594</v>
      </c>
      <c r="Q27" s="2">
        <f>+C27-15018.5</f>
        <v>43832.600599999998</v>
      </c>
    </row>
    <row r="28" spans="1:17" x14ac:dyDescent="0.2">
      <c r="A28" s="44" t="s">
        <v>79</v>
      </c>
      <c r="B28" s="45" t="s">
        <v>69</v>
      </c>
      <c r="C28" s="46">
        <v>58851.101300000002</v>
      </c>
      <c r="D28" s="46" t="s">
        <v>81</v>
      </c>
      <c r="E28">
        <f>+(C28-C$7)/C$8</f>
        <v>11241.880204611565</v>
      </c>
      <c r="F28">
        <f t="shared" si="1"/>
        <v>11242</v>
      </c>
      <c r="G28">
        <f>+C28-(C$7+F28*C$8)</f>
        <v>-0.34214580000116257</v>
      </c>
      <c r="K28">
        <f t="shared" si="5"/>
        <v>-0.34214580000116257</v>
      </c>
      <c r="O28">
        <f ca="1">+C$11+C$12*F28</f>
        <v>-0.34308826580988594</v>
      </c>
      <c r="Q28" s="2">
        <f>+C28-15018.5</f>
        <v>43832.601300000002</v>
      </c>
    </row>
    <row r="29" spans="1:17" x14ac:dyDescent="0.2">
      <c r="A29" s="44" t="s">
        <v>79</v>
      </c>
      <c r="B29" s="45" t="s">
        <v>69</v>
      </c>
      <c r="C29" s="46">
        <v>58851.1014</v>
      </c>
      <c r="D29" s="46" t="s">
        <v>42</v>
      </c>
      <c r="E29">
        <f>+(C29-C$7)/C$8</f>
        <v>11241.88023962453</v>
      </c>
      <c r="F29">
        <f t="shared" si="1"/>
        <v>11242</v>
      </c>
      <c r="G29">
        <f>+C29-(C$7+F29*C$8)</f>
        <v>-0.34204580000368878</v>
      </c>
      <c r="K29">
        <f t="shared" si="5"/>
        <v>-0.34204580000368878</v>
      </c>
      <c r="O29">
        <f ca="1">+C$11+C$12*F29</f>
        <v>-0.34308826580988594</v>
      </c>
      <c r="Q29" s="2">
        <f>+C29-15018.5</f>
        <v>43832.6014</v>
      </c>
    </row>
    <row r="30" spans="1:17" x14ac:dyDescent="0.2">
      <c r="A30" s="44" t="s">
        <v>79</v>
      </c>
      <c r="B30" s="45" t="s">
        <v>69</v>
      </c>
      <c r="C30" s="46">
        <v>58851.101600000002</v>
      </c>
      <c r="D30" s="46" t="s">
        <v>82</v>
      </c>
      <c r="E30">
        <f>+(C30-C$7)/C$8</f>
        <v>11241.88030965046</v>
      </c>
      <c r="F30">
        <f t="shared" si="1"/>
        <v>11242</v>
      </c>
      <c r="G30">
        <f>+C30-(C$7+F30*C$8)</f>
        <v>-0.34184580000146525</v>
      </c>
      <c r="K30">
        <f t="shared" si="5"/>
        <v>-0.34184580000146525</v>
      </c>
      <c r="O30">
        <f ca="1">+C$11+C$12*F30</f>
        <v>-0.34308826580988594</v>
      </c>
      <c r="Q30" s="2">
        <f>+C30-15018.5</f>
        <v>43832.601600000002</v>
      </c>
    </row>
    <row r="31" spans="1:17" x14ac:dyDescent="0.2">
      <c r="B31" s="6"/>
      <c r="D31" s="6"/>
    </row>
    <row r="32" spans="1:17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</sheetData>
  <protectedRanges>
    <protectedRange sqref="A27:D30" name="Range1"/>
  </protectedRange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workbookViewId="0">
      <selection activeCell="A12" sqref="A12:D15"/>
    </sheetView>
  </sheetViews>
  <sheetFormatPr defaultRowHeight="12.75" x14ac:dyDescent="0.2"/>
  <cols>
    <col min="1" max="1" width="19.7109375" style="18" customWidth="1"/>
    <col min="2" max="2" width="4.42578125" style="17" customWidth="1"/>
    <col min="3" max="3" width="12.7109375" style="18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8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16" t="s">
        <v>33</v>
      </c>
      <c r="I1" s="19" t="s">
        <v>34</v>
      </c>
      <c r="J1" s="20" t="s">
        <v>35</v>
      </c>
    </row>
    <row r="2" spans="1:16" x14ac:dyDescent="0.2">
      <c r="I2" s="21" t="s">
        <v>36</v>
      </c>
      <c r="J2" s="22" t="s">
        <v>37</v>
      </c>
    </row>
    <row r="3" spans="1:16" x14ac:dyDescent="0.2">
      <c r="A3" s="23" t="s">
        <v>38</v>
      </c>
      <c r="I3" s="21" t="s">
        <v>39</v>
      </c>
      <c r="J3" s="22" t="s">
        <v>40</v>
      </c>
    </row>
    <row r="4" spans="1:16" x14ac:dyDescent="0.2">
      <c r="I4" s="21" t="s">
        <v>41</v>
      </c>
      <c r="J4" s="22" t="s">
        <v>40</v>
      </c>
    </row>
    <row r="5" spans="1:16" ht="13.5" thickBot="1" x14ac:dyDescent="0.25">
      <c r="I5" s="24" t="s">
        <v>42</v>
      </c>
      <c r="J5" s="25" t="s">
        <v>43</v>
      </c>
    </row>
    <row r="10" spans="1:16" ht="13.5" thickBot="1" x14ac:dyDescent="0.25"/>
    <row r="11" spans="1:16" ht="12.75" customHeight="1" thickBot="1" x14ac:dyDescent="0.25">
      <c r="A11" s="18" t="str">
        <f>P11</f>
        <v>IBVS 5690 </v>
      </c>
      <c r="B11" s="6" t="str">
        <f>IF(H11=INT(H11),"I","II")</f>
        <v>II</v>
      </c>
      <c r="C11" s="18">
        <f>1*G11</f>
        <v>53441.734299999996</v>
      </c>
      <c r="D11" s="17" t="str">
        <f>VLOOKUP(F11,I$1:J$5,2,FALSE)</f>
        <v>vis</v>
      </c>
      <c r="E11" s="26">
        <f>VLOOKUP(C11,Active!C$21:E$973,3,FALSE)</f>
        <v>9347.9004423152819</v>
      </c>
      <c r="F11" s="6" t="s">
        <v>42</v>
      </c>
      <c r="G11" s="17" t="str">
        <f>MID(I11,3,LEN(I11)-3)</f>
        <v>53441.7343</v>
      </c>
      <c r="H11" s="18">
        <f>1*K11</f>
        <v>-173.5</v>
      </c>
      <c r="I11" s="27" t="s">
        <v>56</v>
      </c>
      <c r="J11" s="28" t="s">
        <v>57</v>
      </c>
      <c r="K11" s="27">
        <v>-173.5</v>
      </c>
      <c r="L11" s="27" t="s">
        <v>58</v>
      </c>
      <c r="M11" s="28" t="s">
        <v>59</v>
      </c>
      <c r="N11" s="28" t="s">
        <v>60</v>
      </c>
      <c r="O11" s="29" t="s">
        <v>61</v>
      </c>
      <c r="P11" s="30" t="s">
        <v>62</v>
      </c>
    </row>
    <row r="12" spans="1:16" ht="12.75" customHeight="1" thickBot="1" x14ac:dyDescent="0.25">
      <c r="A12" s="18" t="str">
        <f>P12</f>
        <v> PSMO 8.2.52 </v>
      </c>
      <c r="B12" s="6" t="str">
        <f>IF(H12=INT(H12),"I","II")</f>
        <v>II</v>
      </c>
      <c r="C12" s="18">
        <f>1*G12</f>
        <v>26743.335999999999</v>
      </c>
      <c r="D12" s="17" t="str">
        <f>VLOOKUP(F12,I$1:J$5,2,FALSE)</f>
        <v>vis</v>
      </c>
      <c r="E12" s="26">
        <f>VLOOKUP(C12,Active!C$21:E$973,3,FALSE)</f>
        <v>-3.5012964782795038E-4</v>
      </c>
      <c r="F12" s="6" t="s">
        <v>42</v>
      </c>
      <c r="G12" s="17" t="str">
        <f>MID(I12,3,LEN(I12)-3)</f>
        <v>26743.336</v>
      </c>
      <c r="H12" s="18">
        <f>1*K12</f>
        <v>-4847.5</v>
      </c>
      <c r="I12" s="27" t="s">
        <v>44</v>
      </c>
      <c r="J12" s="28" t="s">
        <v>45</v>
      </c>
      <c r="K12" s="27">
        <v>-4847.5</v>
      </c>
      <c r="L12" s="27" t="s">
        <v>46</v>
      </c>
      <c r="M12" s="28" t="s">
        <v>47</v>
      </c>
      <c r="N12" s="28"/>
      <c r="O12" s="29" t="s">
        <v>48</v>
      </c>
      <c r="P12" s="29" t="s">
        <v>49</v>
      </c>
    </row>
    <row r="13" spans="1:16" ht="12.75" customHeight="1" thickBot="1" x14ac:dyDescent="0.25">
      <c r="A13" s="18" t="str">
        <f>P13</f>
        <v> PSMO 8.2.52 </v>
      </c>
      <c r="B13" s="6" t="str">
        <f>IF(H13=INT(H13),"I","II")</f>
        <v>I</v>
      </c>
      <c r="C13" s="18">
        <f>1*G13</f>
        <v>27037.516</v>
      </c>
      <c r="D13" s="17" t="str">
        <f>VLOOKUP(F13,I$1:J$5,2,FALSE)</f>
        <v>vis</v>
      </c>
      <c r="E13" s="26">
        <f>VLOOKUP(C13,Active!C$21:E$973,3,FALSE)</f>
        <v>103.00078964739461</v>
      </c>
      <c r="F13" s="6" t="s">
        <v>42</v>
      </c>
      <c r="G13" s="17" t="str">
        <f>MID(I13,3,LEN(I13)-3)</f>
        <v>27037.516</v>
      </c>
      <c r="H13" s="18">
        <f>1*K13</f>
        <v>-4796</v>
      </c>
      <c r="I13" s="27" t="s">
        <v>50</v>
      </c>
      <c r="J13" s="28" t="s">
        <v>51</v>
      </c>
      <c r="K13" s="27">
        <v>-4796</v>
      </c>
      <c r="L13" s="27" t="s">
        <v>52</v>
      </c>
      <c r="M13" s="28" t="s">
        <v>47</v>
      </c>
      <c r="N13" s="28"/>
      <c r="O13" s="29" t="s">
        <v>48</v>
      </c>
      <c r="P13" s="29" t="s">
        <v>49</v>
      </c>
    </row>
    <row r="14" spans="1:16" ht="12.75" customHeight="1" thickBot="1" x14ac:dyDescent="0.25">
      <c r="A14" s="18" t="str">
        <f>P14</f>
        <v> PSMO 8.2.52 </v>
      </c>
      <c r="B14" s="6" t="str">
        <f>IF(H14=INT(H14),"I","II")</f>
        <v>II</v>
      </c>
      <c r="C14" s="18">
        <f>1*G14</f>
        <v>27857.213</v>
      </c>
      <c r="D14" s="17" t="str">
        <f>VLOOKUP(F14,I$1:J$5,2,FALSE)</f>
        <v>vis</v>
      </c>
      <c r="E14" s="26">
        <f>VLOOKUP(C14,Active!C$21:E$973,3,FALSE)</f>
        <v>390.00101152455244</v>
      </c>
      <c r="F14" s="6" t="s">
        <v>42</v>
      </c>
      <c r="G14" s="17" t="str">
        <f>MID(I14,3,LEN(I14)-3)</f>
        <v>27857.213</v>
      </c>
      <c r="H14" s="18">
        <f>1*K14</f>
        <v>-4652.5</v>
      </c>
      <c r="I14" s="27" t="s">
        <v>53</v>
      </c>
      <c r="J14" s="28" t="s">
        <v>54</v>
      </c>
      <c r="K14" s="27">
        <v>-4652.5</v>
      </c>
      <c r="L14" s="27" t="s">
        <v>55</v>
      </c>
      <c r="M14" s="28" t="s">
        <v>47</v>
      </c>
      <c r="N14" s="28"/>
      <c r="O14" s="29" t="s">
        <v>48</v>
      </c>
      <c r="P14" s="29" t="s">
        <v>49</v>
      </c>
    </row>
    <row r="15" spans="1:16" ht="12.75" customHeight="1" thickBot="1" x14ac:dyDescent="0.25">
      <c r="A15" s="18" t="str">
        <f>P15</f>
        <v>VSB 50 </v>
      </c>
      <c r="B15" s="6" t="str">
        <f>IF(H15=INT(H15),"I","II")</f>
        <v>I</v>
      </c>
      <c r="C15" s="18">
        <f>1*G15</f>
        <v>54844.052100000001</v>
      </c>
      <c r="D15" s="17" t="str">
        <f>VLOOKUP(F15,I$1:J$5,2,FALSE)</f>
        <v>vis</v>
      </c>
      <c r="E15" s="26">
        <f>VLOOKUP(C15,Active!C$21:E$973,3,FALSE)</f>
        <v>9838.8934796721205</v>
      </c>
      <c r="F15" s="6" t="s">
        <v>42</v>
      </c>
      <c r="G15" s="17" t="str">
        <f>MID(I15,3,LEN(I15)-3)</f>
        <v>54844.0521</v>
      </c>
      <c r="H15" s="18">
        <f>1*K15</f>
        <v>72</v>
      </c>
      <c r="I15" s="27" t="s">
        <v>63</v>
      </c>
      <c r="J15" s="28" t="s">
        <v>64</v>
      </c>
      <c r="K15" s="27">
        <v>72</v>
      </c>
      <c r="L15" s="27" t="s">
        <v>65</v>
      </c>
      <c r="M15" s="28" t="s">
        <v>66</v>
      </c>
      <c r="N15" s="28" t="s">
        <v>42</v>
      </c>
      <c r="O15" s="29" t="s">
        <v>67</v>
      </c>
      <c r="P15" s="30" t="s">
        <v>68</v>
      </c>
    </row>
    <row r="16" spans="1:16" x14ac:dyDescent="0.2">
      <c r="B16" s="6"/>
      <c r="F16" s="6"/>
    </row>
    <row r="17" spans="2:6" x14ac:dyDescent="0.2">
      <c r="B17" s="6"/>
      <c r="F17" s="6"/>
    </row>
    <row r="18" spans="2:6" x14ac:dyDescent="0.2">
      <c r="B18" s="6"/>
      <c r="F18" s="6"/>
    </row>
    <row r="19" spans="2:6" x14ac:dyDescent="0.2">
      <c r="B19" s="6"/>
      <c r="F19" s="6"/>
    </row>
    <row r="20" spans="2:6" x14ac:dyDescent="0.2">
      <c r="B20" s="6"/>
      <c r="F20" s="6"/>
    </row>
    <row r="21" spans="2:6" x14ac:dyDescent="0.2">
      <c r="B21" s="6"/>
      <c r="F21" s="6"/>
    </row>
    <row r="22" spans="2:6" x14ac:dyDescent="0.2">
      <c r="B22" s="6"/>
      <c r="F22" s="6"/>
    </row>
    <row r="23" spans="2:6" x14ac:dyDescent="0.2">
      <c r="B23" s="6"/>
      <c r="F23" s="6"/>
    </row>
    <row r="24" spans="2:6" x14ac:dyDescent="0.2">
      <c r="B24" s="6"/>
      <c r="F24" s="6"/>
    </row>
    <row r="25" spans="2:6" x14ac:dyDescent="0.2">
      <c r="B25" s="6"/>
      <c r="F25" s="6"/>
    </row>
    <row r="26" spans="2:6" x14ac:dyDescent="0.2">
      <c r="B26" s="6"/>
      <c r="F26" s="6"/>
    </row>
    <row r="27" spans="2:6" x14ac:dyDescent="0.2">
      <c r="B27" s="6"/>
      <c r="F27" s="6"/>
    </row>
    <row r="28" spans="2:6" x14ac:dyDescent="0.2">
      <c r="B28" s="6"/>
      <c r="F28" s="6"/>
    </row>
    <row r="29" spans="2:6" x14ac:dyDescent="0.2">
      <c r="B29" s="6"/>
      <c r="F29" s="6"/>
    </row>
    <row r="30" spans="2:6" x14ac:dyDescent="0.2">
      <c r="B30" s="6"/>
      <c r="F30" s="6"/>
    </row>
    <row r="31" spans="2:6" x14ac:dyDescent="0.2">
      <c r="B31" s="6"/>
      <c r="F31" s="6"/>
    </row>
    <row r="32" spans="2:6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  <row r="37" spans="2:6" x14ac:dyDescent="0.2">
      <c r="B37" s="6"/>
      <c r="F37" s="6"/>
    </row>
    <row r="38" spans="2:6" x14ac:dyDescent="0.2">
      <c r="B38" s="6"/>
      <c r="F38" s="6"/>
    </row>
    <row r="39" spans="2:6" x14ac:dyDescent="0.2">
      <c r="B39" s="6"/>
      <c r="F39" s="6"/>
    </row>
    <row r="40" spans="2:6" x14ac:dyDescent="0.2">
      <c r="B40" s="6"/>
      <c r="F40" s="6"/>
    </row>
    <row r="41" spans="2:6" x14ac:dyDescent="0.2">
      <c r="B41" s="6"/>
      <c r="F41" s="6"/>
    </row>
    <row r="42" spans="2:6" x14ac:dyDescent="0.2">
      <c r="B42" s="6"/>
      <c r="F42" s="6"/>
    </row>
    <row r="43" spans="2:6" x14ac:dyDescent="0.2">
      <c r="B43" s="6"/>
      <c r="F43" s="6"/>
    </row>
    <row r="44" spans="2:6" x14ac:dyDescent="0.2">
      <c r="B44" s="6"/>
      <c r="F44" s="6"/>
    </row>
    <row r="45" spans="2:6" x14ac:dyDescent="0.2">
      <c r="B45" s="6"/>
      <c r="F45" s="6"/>
    </row>
    <row r="46" spans="2:6" x14ac:dyDescent="0.2">
      <c r="B46" s="6"/>
      <c r="F46" s="6"/>
    </row>
    <row r="47" spans="2:6" x14ac:dyDescent="0.2">
      <c r="B47" s="6"/>
      <c r="F47" s="6"/>
    </row>
    <row r="48" spans="2:6" x14ac:dyDescent="0.2">
      <c r="B48" s="6"/>
      <c r="F48" s="6"/>
    </row>
    <row r="49" spans="2:6" x14ac:dyDescent="0.2">
      <c r="B49" s="6"/>
      <c r="F49" s="6"/>
    </row>
    <row r="50" spans="2:6" x14ac:dyDescent="0.2">
      <c r="B50" s="6"/>
      <c r="F50" s="6"/>
    </row>
    <row r="51" spans="2:6" x14ac:dyDescent="0.2">
      <c r="B51" s="6"/>
      <c r="F51" s="6"/>
    </row>
    <row r="52" spans="2:6" x14ac:dyDescent="0.2">
      <c r="B52" s="6"/>
      <c r="F52" s="6"/>
    </row>
    <row r="53" spans="2:6" x14ac:dyDescent="0.2">
      <c r="B53" s="6"/>
      <c r="F53" s="6"/>
    </row>
    <row r="54" spans="2:6" x14ac:dyDescent="0.2">
      <c r="B54" s="6"/>
      <c r="F54" s="6"/>
    </row>
    <row r="55" spans="2:6" x14ac:dyDescent="0.2">
      <c r="B55" s="6"/>
      <c r="F55" s="6"/>
    </row>
    <row r="56" spans="2:6" x14ac:dyDescent="0.2">
      <c r="B56" s="6"/>
      <c r="F56" s="6"/>
    </row>
    <row r="57" spans="2:6" x14ac:dyDescent="0.2">
      <c r="B57" s="6"/>
      <c r="F57" s="6"/>
    </row>
    <row r="58" spans="2:6" x14ac:dyDescent="0.2">
      <c r="B58" s="6"/>
      <c r="F58" s="6"/>
    </row>
    <row r="59" spans="2:6" x14ac:dyDescent="0.2">
      <c r="B59" s="6"/>
      <c r="F59" s="6"/>
    </row>
    <row r="60" spans="2:6" x14ac:dyDescent="0.2">
      <c r="B60" s="6"/>
      <c r="F60" s="6"/>
    </row>
    <row r="61" spans="2:6" x14ac:dyDescent="0.2">
      <c r="B61" s="6"/>
      <c r="F61" s="6"/>
    </row>
    <row r="62" spans="2:6" x14ac:dyDescent="0.2">
      <c r="B62" s="6"/>
      <c r="F62" s="6"/>
    </row>
    <row r="63" spans="2:6" x14ac:dyDescent="0.2">
      <c r="B63" s="6"/>
      <c r="F63" s="6"/>
    </row>
    <row r="64" spans="2:6" x14ac:dyDescent="0.2">
      <c r="B64" s="6"/>
      <c r="F64" s="6"/>
    </row>
    <row r="65" spans="2:6" x14ac:dyDescent="0.2">
      <c r="B65" s="6"/>
      <c r="F65" s="6"/>
    </row>
    <row r="66" spans="2:6" x14ac:dyDescent="0.2">
      <c r="B66" s="6"/>
      <c r="F66" s="6"/>
    </row>
    <row r="67" spans="2:6" x14ac:dyDescent="0.2">
      <c r="B67" s="6"/>
      <c r="F67" s="6"/>
    </row>
    <row r="68" spans="2:6" x14ac:dyDescent="0.2">
      <c r="B68" s="6"/>
      <c r="F68" s="6"/>
    </row>
    <row r="69" spans="2:6" x14ac:dyDescent="0.2">
      <c r="B69" s="6"/>
      <c r="F69" s="6"/>
    </row>
    <row r="70" spans="2:6" x14ac:dyDescent="0.2">
      <c r="B70" s="6"/>
      <c r="F70" s="6"/>
    </row>
    <row r="71" spans="2:6" x14ac:dyDescent="0.2">
      <c r="B71" s="6"/>
      <c r="F71" s="6"/>
    </row>
    <row r="72" spans="2:6" x14ac:dyDescent="0.2">
      <c r="B72" s="6"/>
      <c r="F72" s="6"/>
    </row>
    <row r="73" spans="2:6" x14ac:dyDescent="0.2">
      <c r="B73" s="6"/>
      <c r="F73" s="6"/>
    </row>
    <row r="74" spans="2:6" x14ac:dyDescent="0.2">
      <c r="B74" s="6"/>
      <c r="F74" s="6"/>
    </row>
    <row r="75" spans="2:6" x14ac:dyDescent="0.2">
      <c r="B75" s="6"/>
      <c r="F75" s="6"/>
    </row>
    <row r="76" spans="2:6" x14ac:dyDescent="0.2">
      <c r="B76" s="6"/>
      <c r="F76" s="6"/>
    </row>
    <row r="77" spans="2:6" x14ac:dyDescent="0.2">
      <c r="B77" s="6"/>
      <c r="F77" s="6"/>
    </row>
    <row r="78" spans="2:6" x14ac:dyDescent="0.2">
      <c r="B78" s="6"/>
      <c r="F78" s="6"/>
    </row>
    <row r="79" spans="2:6" x14ac:dyDescent="0.2">
      <c r="B79" s="6"/>
      <c r="F79" s="6"/>
    </row>
    <row r="80" spans="2: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</sheetData>
  <phoneticPr fontId="16" type="noConversion"/>
  <hyperlinks>
    <hyperlink ref="P11" r:id="rId1" display="http://www.konkoly.hu/cgi-bin/IBVS?5690"/>
    <hyperlink ref="P15" r:id="rId2" display="http://vsolj.cetus-net.org/vsoljno5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2024-01-26T04:51:59Z</dcterms:modified>
</cp:coreProperties>
</file>