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A877568-40FD-4263-B476-3E075A9671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J22" i="1"/>
  <c r="E23" i="1"/>
  <c r="F23" i="1"/>
  <c r="G23" i="1"/>
  <c r="J23" i="1"/>
  <c r="E24" i="1"/>
  <c r="F24" i="1"/>
  <c r="G24" i="1"/>
  <c r="J24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Q21" i="1"/>
  <c r="Q22" i="1"/>
  <c r="Q23" i="1"/>
  <c r="Q24" i="1"/>
  <c r="Q26" i="1"/>
  <c r="Q27" i="1"/>
  <c r="Q28" i="1"/>
  <c r="Q29" i="1"/>
  <c r="Q30" i="1"/>
  <c r="Q31" i="1"/>
  <c r="Q32" i="1"/>
  <c r="Q33" i="1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25" i="1"/>
  <c r="E25" i="1"/>
  <c r="F25" i="1"/>
  <c r="G25" i="1"/>
  <c r="I25" i="1"/>
  <c r="E9" i="1"/>
  <c r="A25" i="1"/>
  <c r="F16" i="1"/>
  <c r="Q25" i="1"/>
  <c r="C17" i="1"/>
  <c r="C12" i="1"/>
  <c r="C11" i="1"/>
  <c r="O22" i="1" l="1"/>
  <c r="O23" i="1"/>
  <c r="O31" i="1"/>
  <c r="O28" i="1"/>
  <c r="O26" i="1"/>
  <c r="O32" i="1"/>
  <c r="O29" i="1"/>
  <c r="O25" i="1"/>
  <c r="O24" i="1"/>
  <c r="O27" i="1"/>
  <c r="O30" i="1"/>
  <c r="O21" i="1"/>
  <c r="O33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<sst xmlns="http://schemas.openxmlformats.org/spreadsheetml/2006/main" count="191" uniqueCount="99">
  <si>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</si>
  <si>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</si>
  <si>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</si>
  <si>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</si>
  <si>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</si>
  <si>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</si>
  <si>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</si>
  <si>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</si>
  <si>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</si>
  <si>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</si>
  <si>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</si>
  <si>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</si>
  <si>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</si>
  <si>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</si>
  <si>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</si>
  <si>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</si>
  <si>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</si>
  <si>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</si>
  <si>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</si>
  <si>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</si>
  <si>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</si>
  <si>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</si>
  <si>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</si>
  <si>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</si>
  <si>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</si>
  <si>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</si>
  <si>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</si>
  <si>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</si>
  <si>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</si>
  <si>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</si>
  <si>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</si>
  <si>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</si>
  <si>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</si>
  <si>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</si>
  <si>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</si>
  <si>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</si>
  <si>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</si>
  <si>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</si>
  <si>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</si>
  <si>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</si>
  <si>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</si>
  <si>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</si>
  <si>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</si>
  <si>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</si>
  <si>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</si>
  <si>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</si>
  <si>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</si>
  <si>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</si>
  <si>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WW CMa</t>
  </si>
  <si>
    <t>S:</t>
  </si>
  <si>
    <t>WW CMa / GSC 52502.136</t>
  </si>
  <si>
    <t>Kreiner</t>
  </si>
  <si>
    <t>2427470.0389 </t>
  </si>
  <si>
    <t> 01.02.1934 12:56 </t>
  </si>
  <si>
    <t> 0.5462 </t>
  </si>
  <si>
    <t>V </t>
  </si>
  <si>
    <t> N.Florja </t>
  </si>
  <si>
    <t> PSMO 8.2.106 </t>
  </si>
  <si>
    <t>2435200.1131 </t>
  </si>
  <si>
    <t> 02.04.1955 14:42 </t>
  </si>
  <si>
    <t> 0.3965 </t>
  </si>
  <si>
    <t>E </t>
  </si>
  <si>
    <t> J.B.Irwin </t>
  </si>
  <si>
    <t> APJS 6.253 </t>
  </si>
  <si>
    <t>2451925.8963 </t>
  </si>
  <si>
    <t> 16.01.2001 09:30 </t>
  </si>
  <si>
    <t> 0.0086 </t>
  </si>
  <si>
    <t>C </t>
  </si>
  <si>
    <t>ns</t>
  </si>
  <si>
    <t> L.Szabados (ASAS) </t>
  </si>
  <si>
    <t>IBVS 6038 </t>
  </si>
  <si>
    <t>2452205.2131 </t>
  </si>
  <si>
    <t> 22.10.2001 17:06 </t>
  </si>
  <si>
    <t> 0.0107 </t>
  </si>
  <si>
    <t>2452663.1671 </t>
  </si>
  <si>
    <t> 23.01.2003 16:00 </t>
  </si>
  <si>
    <t> -0.0108 </t>
  </si>
  <si>
    <t>2453020.4943 </t>
  </si>
  <si>
    <t> 15.01.2004 23:51 </t>
  </si>
  <si>
    <t> -0.0052 </t>
  </si>
  <si>
    <t>2453408.0095 </t>
  </si>
  <si>
    <t> 06.02.2005 12:13 </t>
  </si>
  <si>
    <t> -0.0077 </t>
  </si>
  <si>
    <t>2453755.2665 </t>
  </si>
  <si>
    <t> 19.01.2006 18:23 </t>
  </si>
  <si>
    <t> -0.0069 </t>
  </si>
  <si>
    <t>2454150.3382 </t>
  </si>
  <si>
    <t> 18.02.2007 20:07 </t>
  </si>
  <si>
    <t> -0.0019 </t>
  </si>
  <si>
    <t>2454474.9434 </t>
  </si>
  <si>
    <t> 09.01.2008 10:38 </t>
  </si>
  <si>
    <t> -0.0057 </t>
  </si>
  <si>
    <t>2454784.4785 </t>
  </si>
  <si>
    <t> 13.11.2008 23:29 </t>
  </si>
  <si>
    <t> 0.0184 </t>
  </si>
  <si>
    <t>2455083.9056 </t>
  </si>
  <si>
    <t> 09.09.2009 09:44 </t>
  </si>
  <si>
    <t> 0.0000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</si>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</sst>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CMa - O-C Diagr.</a:t>
            </a:r>
          </a:p>
        </c:rich>
      </c:tx>
      <c:layout>
        <c:manualLayout>
          <c:xMode val="edge"/>
          <c:yMode val="edge"/>
          <c:x val="0.381502890173410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8728323699421"/>
          <c:y val="0.14035127795846455"/>
          <c:w val="0.8309248554913294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0.54275200000120094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92-49A9-A971-B5C077A34E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92-49A9-A971-B5C077A34E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0.39282400000229245</c:v>
                </c:pt>
                <c:pt idx="2">
                  <c:v>4.2210000028717332E-3</c:v>
                </c:pt>
                <c:pt idx="3">
                  <c:v>6.2820000021019951E-3</c:v>
                </c:pt>
                <c:pt idx="5">
                  <c:v>-1.5235999999276828E-2</c:v>
                </c:pt>
                <c:pt idx="6">
                  <c:v>-9.5940000028349459E-3</c:v>
                </c:pt>
                <c:pt idx="7">
                  <c:v>-1.2139999998908024E-2</c:v>
                </c:pt>
                <c:pt idx="8">
                  <c:v>-1.1301999998977408E-2</c:v>
                </c:pt>
                <c:pt idx="9">
                  <c:v>-6.3950000039767474E-3</c:v>
                </c:pt>
                <c:pt idx="10">
                  <c:v>-1.0216000002401415E-2</c:v>
                </c:pt>
                <c:pt idx="11">
                  <c:v>1.3956999995571095E-2</c:v>
                </c:pt>
                <c:pt idx="12">
                  <c:v>-4.474000001209788E-3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92-49A9-A971-B5C077A34E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92-49A9-A971-B5C077A34E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92-49A9-A971-B5C077A34E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92-49A9-A971-B5C077A34E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92-49A9-A971-B5C077A34E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0.54240229899246351</c:v>
                </c:pt>
                <c:pt idx="1">
                  <c:v>0.38016718866890625</c:v>
                </c:pt>
                <c:pt idx="2">
                  <c:v>2.913308114264173E-2</c:v>
                </c:pt>
                <c:pt idx="3">
                  <c:v>2.3271070320403823E-2</c:v>
                </c:pt>
                <c:pt idx="4">
                  <c:v>1.7039383140006768E-2</c:v>
                </c:pt>
                <c:pt idx="5">
                  <c:v>1.3659485008265993E-2</c:v>
                </c:pt>
                <c:pt idx="6">
                  <c:v>6.1603360284661485E-3</c:v>
                </c:pt>
                <c:pt idx="7">
                  <c:v>-1.9725438510350898E-3</c:v>
                </c:pt>
                <c:pt idx="8">
                  <c:v>-9.2604491976011373E-3</c:v>
                </c:pt>
                <c:pt idx="9">
                  <c:v>-1.7551761802027728E-2</c:v>
                </c:pt>
                <c:pt idx="10">
                  <c:v>-2.4364368973817725E-2</c:v>
                </c:pt>
                <c:pt idx="11">
                  <c:v>-3.0860110695757031E-2</c:v>
                </c:pt>
                <c:pt idx="12">
                  <c:v>-3.7144608784462532E-2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92-49A9-A971-B5C077A34E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92-49A9-A971-B5C077A3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758624"/>
        <c:axId val="1"/>
      </c:scatterChart>
      <c:valAx>
        <c:axId val="52675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861271676300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3294797687861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758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65317919075145"/>
          <c:y val="0.92397937099967764"/>
          <c:w val="0.6864161849710982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CMa - O-C Diagr.</a:t>
            </a:r>
          </a:p>
        </c:rich>
      </c:tx>
      <c:layout>
        <c:manualLayout>
          <c:xMode val="edge"/>
          <c:yMode val="edge"/>
          <c:x val="0.381502890173410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8728323699421"/>
          <c:y val="0.14035127795846455"/>
          <c:w val="0.8309248554913294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0.54275200000120094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E-48C5-BEA2-E879D8870DE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0E-48C5-BEA2-E879D8870D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0.39282400000229245</c:v>
                </c:pt>
                <c:pt idx="2">
                  <c:v>4.2210000028717332E-3</c:v>
                </c:pt>
                <c:pt idx="3">
                  <c:v>6.2820000021019951E-3</c:v>
                </c:pt>
                <c:pt idx="5">
                  <c:v>-1.5235999999276828E-2</c:v>
                </c:pt>
                <c:pt idx="6">
                  <c:v>-9.5940000028349459E-3</c:v>
                </c:pt>
                <c:pt idx="7">
                  <c:v>-1.2139999998908024E-2</c:v>
                </c:pt>
                <c:pt idx="8">
                  <c:v>-1.1301999998977408E-2</c:v>
                </c:pt>
                <c:pt idx="9">
                  <c:v>-6.3950000039767474E-3</c:v>
                </c:pt>
                <c:pt idx="10">
                  <c:v>-1.0216000002401415E-2</c:v>
                </c:pt>
                <c:pt idx="11">
                  <c:v>1.3956999995571095E-2</c:v>
                </c:pt>
                <c:pt idx="12">
                  <c:v>-4.474000001209788E-3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0E-48C5-BEA2-E879D8870D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0E-48C5-BEA2-E879D8870D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0E-48C5-BEA2-E879D8870D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0E-48C5-BEA2-E879D8870D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0E-48C5-BEA2-E879D8870D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0.54240229899246351</c:v>
                </c:pt>
                <c:pt idx="1">
                  <c:v>0.38016718866890625</c:v>
                </c:pt>
                <c:pt idx="2">
                  <c:v>2.913308114264173E-2</c:v>
                </c:pt>
                <c:pt idx="3">
                  <c:v>2.3271070320403823E-2</c:v>
                </c:pt>
                <c:pt idx="4">
                  <c:v>1.7039383140006768E-2</c:v>
                </c:pt>
                <c:pt idx="5">
                  <c:v>1.3659485008265993E-2</c:v>
                </c:pt>
                <c:pt idx="6">
                  <c:v>6.1603360284661485E-3</c:v>
                </c:pt>
                <c:pt idx="7">
                  <c:v>-1.9725438510350898E-3</c:v>
                </c:pt>
                <c:pt idx="8">
                  <c:v>-9.2604491976011373E-3</c:v>
                </c:pt>
                <c:pt idx="9">
                  <c:v>-1.7551761802027728E-2</c:v>
                </c:pt>
                <c:pt idx="10">
                  <c:v>-2.4364368973817725E-2</c:v>
                </c:pt>
                <c:pt idx="11">
                  <c:v>-3.0860110695757031E-2</c:v>
                </c:pt>
                <c:pt idx="12">
                  <c:v>-3.7144608784462532E-2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0E-48C5-BEA2-E879D8870DE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-9948</c:v>
                </c:pt>
                <c:pt idx="1">
                  <c:v>-6876</c:v>
                </c:pt>
                <c:pt idx="2">
                  <c:v>-229</c:v>
                </c:pt>
                <c:pt idx="3">
                  <c:v>-118</c:v>
                </c:pt>
                <c:pt idx="4">
                  <c:v>0</c:v>
                </c:pt>
                <c:pt idx="5">
                  <c:v>64</c:v>
                </c:pt>
                <c:pt idx="6">
                  <c:v>206</c:v>
                </c:pt>
                <c:pt idx="7">
                  <c:v>360</c:v>
                </c:pt>
                <c:pt idx="8">
                  <c:v>498</c:v>
                </c:pt>
                <c:pt idx="9">
                  <c:v>655</c:v>
                </c:pt>
                <c:pt idx="10">
                  <c:v>784</c:v>
                </c:pt>
                <c:pt idx="11">
                  <c:v>907</c:v>
                </c:pt>
                <c:pt idx="12">
                  <c:v>1026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0E-48C5-BEA2-E879D8870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758624"/>
        <c:axId val="1"/>
      </c:scatterChart>
      <c:valAx>
        <c:axId val="526758624"/>
        <c:scaling>
          <c:orientation val="minMax"/>
          <c:min val="-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861271676300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3294797687861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6758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65317919075145"/>
          <c:y val="0.92397937099967764"/>
          <c:w val="0.6864161849710982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409575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04A297-FF6C-0C3D-C91B-CADA50305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0</xdr:rowOff>
    </xdr:from>
    <xdr:to>
      <xdr:col>27</xdr:col>
      <xdr:colOff>228600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A4B19-E3B3-4733-A239-4B728D259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38" TargetMode="External"/><Relationship Id="rId3" Type="http://schemas.openxmlformats.org/officeDocument/2006/relationships/hyperlink" Target="http://www.konkoly.hu/cgi-bin/IBVS?6038" TargetMode="External"/><Relationship Id="rId7" Type="http://schemas.openxmlformats.org/officeDocument/2006/relationships/hyperlink" Target="http://www.konkoly.hu/cgi-bin/IBVS?6038" TargetMode="External"/><Relationship Id="rId2" Type="http://schemas.openxmlformats.org/officeDocument/2006/relationships/hyperlink" Target="http://www.konkoly.hu/cgi-bin/IBVS?603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6038" TargetMode="External"/><Relationship Id="rId11" Type="http://schemas.openxmlformats.org/officeDocument/2006/relationships/hyperlink" Target="http://www.konkoly.hu/cgi-bin/IBVS?6038" TargetMode="External"/><Relationship Id="rId5" Type="http://schemas.openxmlformats.org/officeDocument/2006/relationships/hyperlink" Target="http://www.konkoly.hu/cgi-bin/IBVS?6038" TargetMode="External"/><Relationship Id="rId10" Type="http://schemas.openxmlformats.org/officeDocument/2006/relationships/hyperlink" Target="http://www.konkoly.hu/cgi-bin/IBVS?6038" TargetMode="External"/><Relationship Id="rId4" Type="http://schemas.openxmlformats.org/officeDocument/2006/relationships/hyperlink" Target="http://www.konkoly.hu/cgi-bin/IBVS?6038" TargetMode="External"/><Relationship Id="rId9" Type="http://schemas.openxmlformats.org/officeDocument/2006/relationships/hyperlink" Target="http://www.konkoly.hu/cgi-bin/IBVS?6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50" t="s">
        <v>48</v>
      </c>
      <c r="G1" s="31">
        <v>6.1950900000000004</v>
      </c>
      <c r="H1" s="32">
        <v>-21.390699999999999</v>
      </c>
      <c r="I1" s="33">
        <v>52502.135999999999</v>
      </c>
      <c r="J1" s="33">
        <v>2.5163489999999999</v>
      </c>
      <c r="K1" s="51" t="s">
        <v>49</v>
      </c>
      <c r="L1" s="32"/>
      <c r="M1" s="33">
        <v>52502.135999999999</v>
      </c>
      <c r="N1" s="33">
        <v>2.5163489999999999</v>
      </c>
      <c r="O1" s="36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51925.887699999999</v>
      </c>
      <c r="D4" s="28">
        <v>2.5163489000000001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5">
        <v>52502.135999999999</v>
      </c>
      <c r="D7" s="29" t="s">
        <v>51</v>
      </c>
    </row>
    <row r="8" spans="1:15" x14ac:dyDescent="0.2">
      <c r="A8" t="s">
        <v>3</v>
      </c>
      <c r="C8" s="55">
        <v>2.5163489999999999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1.7039383140006768E-2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-5.2810908308449611E-5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55083.872929391218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2.5162961890916913</v>
      </c>
      <c r="E16" s="14" t="s">
        <v>30</v>
      </c>
      <c r="F16" s="35">
        <f ca="1">NOW()+15018.5+$C$5/24</f>
        <v>60335.766186226851</v>
      </c>
    </row>
    <row r="17" spans="1:21" ht="13.5" thickBot="1" x14ac:dyDescent="0.25">
      <c r="A17" s="14" t="s">
        <v>27</v>
      </c>
      <c r="B17" s="10"/>
      <c r="C17" s="10">
        <f>COUNT(C21:C2191)</f>
        <v>13</v>
      </c>
      <c r="E17" s="14" t="s">
        <v>35</v>
      </c>
      <c r="F17" s="15">
        <f ca="1">ROUND(2*(F16-$C$7)/$C$8,0)/2+F15</f>
        <v>3114</v>
      </c>
    </row>
    <row r="18" spans="1:21" ht="14.25" thickTop="1" thickBot="1" x14ac:dyDescent="0.25">
      <c r="A18" s="16" t="s">
        <v>5</v>
      </c>
      <c r="B18" s="10"/>
      <c r="C18" s="19">
        <f ca="1">+C15</f>
        <v>55083.872929391218</v>
      </c>
      <c r="D18" s="20">
        <f ca="1">+C16</f>
        <v>2.5162961890916913</v>
      </c>
      <c r="E18" s="14" t="s">
        <v>36</v>
      </c>
      <c r="F18" s="23">
        <f ca="1">ROUND(2*(F16-$C$15)/$C$16,0)/2+F15</f>
        <v>2088</v>
      </c>
    </row>
    <row r="19" spans="1:21" ht="13.5" thickTop="1" x14ac:dyDescent="0.2">
      <c r="E19" s="14" t="s">
        <v>31</v>
      </c>
      <c r="F19" s="18">
        <f ca="1">+$C$15+$C$16*F18-15018.5-$C$5/24</f>
        <v>45319.795205548005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2" t="s">
        <v>57</v>
      </c>
      <c r="B21" s="54" t="s">
        <v>98</v>
      </c>
      <c r="C21" s="53">
        <v>27470.0389</v>
      </c>
      <c r="D21" s="53" t="s">
        <v>38</v>
      </c>
      <c r="E21">
        <f t="shared" ref="E21:E33" si="0">+(C21-C$7)/C$8</f>
        <v>-9947.784309728102</v>
      </c>
      <c r="F21">
        <f t="shared" ref="F21:F33" si="1">ROUND(2*E21,0)/2</f>
        <v>-9948</v>
      </c>
      <c r="G21">
        <f t="shared" ref="G21:G33" si="2">+C21-(C$7+F21*C$8)</f>
        <v>0.54275200000120094</v>
      </c>
      <c r="H21">
        <f>+G21</f>
        <v>0.54275200000120094</v>
      </c>
      <c r="O21">
        <f t="shared" ref="O21:O33" ca="1" si="3">+C$11+C$12*$F21</f>
        <v>0.54240229899246351</v>
      </c>
      <c r="Q21" s="2">
        <f t="shared" ref="Q21:Q33" si="4">+C21-15018.5</f>
        <v>12451.5389</v>
      </c>
      <c r="R21" s="2"/>
      <c r="S21" s="2"/>
      <c r="T21" s="2"/>
    </row>
    <row r="22" spans="1:21" x14ac:dyDescent="0.2">
      <c r="A22" s="52" t="s">
        <v>63</v>
      </c>
      <c r="B22" s="54" t="s">
        <v>98</v>
      </c>
      <c r="C22" s="53">
        <v>35200.113100000002</v>
      </c>
      <c r="D22" s="53" t="s">
        <v>38</v>
      </c>
      <c r="E22">
        <f t="shared" si="0"/>
        <v>-6875.8438912885285</v>
      </c>
      <c r="F22">
        <f t="shared" si="1"/>
        <v>-6876</v>
      </c>
      <c r="G22">
        <f t="shared" si="2"/>
        <v>0.39282400000229245</v>
      </c>
      <c r="J22">
        <f>+G22</f>
        <v>0.39282400000229245</v>
      </c>
      <c r="O22">
        <f t="shared" ca="1" si="3"/>
        <v>0.38016718866890625</v>
      </c>
      <c r="Q22" s="2">
        <f t="shared" si="4"/>
        <v>20181.613100000002</v>
      </c>
      <c r="R22" s="2"/>
      <c r="S22" s="2"/>
      <c r="T22" s="2"/>
    </row>
    <row r="23" spans="1:21" x14ac:dyDescent="0.2">
      <c r="A23" s="52" t="s">
        <v>70</v>
      </c>
      <c r="B23" s="54" t="s">
        <v>98</v>
      </c>
      <c r="C23" s="53">
        <v>51925.8963</v>
      </c>
      <c r="D23" s="53" t="s">
        <v>38</v>
      </c>
      <c r="E23">
        <f t="shared" si="0"/>
        <v>-228.99832256972235</v>
      </c>
      <c r="F23">
        <f t="shared" si="1"/>
        <v>-229</v>
      </c>
      <c r="G23">
        <f t="shared" si="2"/>
        <v>4.2210000028717332E-3</v>
      </c>
      <c r="J23">
        <f>+G23</f>
        <v>4.2210000028717332E-3</v>
      </c>
      <c r="O23">
        <f t="shared" ca="1" si="3"/>
        <v>2.913308114264173E-2</v>
      </c>
      <c r="Q23" s="2">
        <f t="shared" si="4"/>
        <v>36907.3963</v>
      </c>
      <c r="R23" s="2"/>
      <c r="S23" s="2"/>
      <c r="T23" s="2"/>
    </row>
    <row r="24" spans="1:21" x14ac:dyDescent="0.2">
      <c r="A24" s="52" t="s">
        <v>70</v>
      </c>
      <c r="B24" s="54" t="s">
        <v>98</v>
      </c>
      <c r="C24" s="53">
        <v>52205.213100000001</v>
      </c>
      <c r="D24" s="53" t="s">
        <v>38</v>
      </c>
      <c r="E24">
        <f t="shared" si="0"/>
        <v>-117.99750352594086</v>
      </c>
      <c r="F24">
        <f t="shared" si="1"/>
        <v>-118</v>
      </c>
      <c r="G24">
        <f t="shared" si="2"/>
        <v>6.2820000021019951E-3</v>
      </c>
      <c r="J24">
        <f>+G24</f>
        <v>6.2820000021019951E-3</v>
      </c>
      <c r="O24">
        <f t="shared" ca="1" si="3"/>
        <v>2.3271070320403823E-2</v>
      </c>
      <c r="Q24" s="2">
        <f t="shared" si="4"/>
        <v>37186.713100000001</v>
      </c>
      <c r="R24" s="2"/>
      <c r="S24" s="2"/>
      <c r="T24" s="2"/>
    </row>
    <row r="25" spans="1:21" x14ac:dyDescent="0.2">
      <c r="A25">
        <f>D11</f>
        <v>0</v>
      </c>
      <c r="C25" s="8">
        <f>C$7</f>
        <v>52502.135999999999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I25">
        <f>+G25</f>
        <v>0</v>
      </c>
      <c r="O25">
        <f t="shared" ca="1" si="3"/>
        <v>1.7039383140006768E-2</v>
      </c>
      <c r="Q25" s="2">
        <f t="shared" si="4"/>
        <v>37483.635999999999</v>
      </c>
      <c r="R25" s="2"/>
      <c r="S25" s="2"/>
      <c r="T25" s="2"/>
    </row>
    <row r="26" spans="1:21" x14ac:dyDescent="0.2">
      <c r="A26" s="52" t="s">
        <v>70</v>
      </c>
      <c r="B26" s="54" t="s">
        <v>98</v>
      </c>
      <c r="C26" s="53">
        <v>52663.167099999999</v>
      </c>
      <c r="D26" s="53" t="s">
        <v>38</v>
      </c>
      <c r="E26">
        <f t="shared" si="0"/>
        <v>63.993945195996325</v>
      </c>
      <c r="F26">
        <f t="shared" si="1"/>
        <v>64</v>
      </c>
      <c r="G26">
        <f t="shared" si="2"/>
        <v>-1.5235999999276828E-2</v>
      </c>
      <c r="J26">
        <f t="shared" ref="J26:J33" si="5">+G26</f>
        <v>-1.5235999999276828E-2</v>
      </c>
      <c r="O26">
        <f t="shared" ca="1" si="3"/>
        <v>1.3659485008265993E-2</v>
      </c>
      <c r="Q26" s="2">
        <f t="shared" si="4"/>
        <v>37644.667099999999</v>
      </c>
      <c r="R26" s="2"/>
      <c r="S26" s="2"/>
      <c r="T26" s="2"/>
    </row>
    <row r="27" spans="1:21" x14ac:dyDescent="0.2">
      <c r="A27" s="52" t="s">
        <v>70</v>
      </c>
      <c r="B27" s="54" t="s">
        <v>98</v>
      </c>
      <c r="C27" s="53">
        <v>53020.494299999998</v>
      </c>
      <c r="D27" s="53" t="s">
        <v>38</v>
      </c>
      <c r="E27">
        <f t="shared" si="0"/>
        <v>205.99618733331499</v>
      </c>
      <c r="F27">
        <f t="shared" si="1"/>
        <v>206</v>
      </c>
      <c r="G27">
        <f t="shared" si="2"/>
        <v>-9.5940000028349459E-3</v>
      </c>
      <c r="J27">
        <f t="shared" si="5"/>
        <v>-9.5940000028349459E-3</v>
      </c>
      <c r="O27">
        <f t="shared" ca="1" si="3"/>
        <v>6.1603360284661485E-3</v>
      </c>
      <c r="Q27" s="2">
        <f t="shared" si="4"/>
        <v>38001.994299999998</v>
      </c>
      <c r="R27" s="2"/>
      <c r="S27" s="2"/>
      <c r="T27" s="2"/>
    </row>
    <row r="28" spans="1:21" x14ac:dyDescent="0.2">
      <c r="A28" s="52" t="s">
        <v>70</v>
      </c>
      <c r="B28" s="54" t="s">
        <v>98</v>
      </c>
      <c r="C28" s="53">
        <v>53408.0095</v>
      </c>
      <c r="D28" s="53" t="s">
        <v>38</v>
      </c>
      <c r="E28">
        <f t="shared" si="0"/>
        <v>359.99517554997402</v>
      </c>
      <c r="F28">
        <f t="shared" si="1"/>
        <v>360</v>
      </c>
      <c r="G28">
        <f t="shared" si="2"/>
        <v>-1.2139999998908024E-2</v>
      </c>
      <c r="J28">
        <f t="shared" si="5"/>
        <v>-1.2139999998908024E-2</v>
      </c>
      <c r="O28">
        <f t="shared" ca="1" si="3"/>
        <v>-1.9725438510350898E-3</v>
      </c>
      <c r="Q28" s="2">
        <f t="shared" si="4"/>
        <v>38389.5095</v>
      </c>
      <c r="R28" s="2"/>
      <c r="S28" s="2"/>
      <c r="T28" s="2"/>
    </row>
    <row r="29" spans="1:21" x14ac:dyDescent="0.2">
      <c r="A29" s="52" t="s">
        <v>70</v>
      </c>
      <c r="B29" s="54" t="s">
        <v>98</v>
      </c>
      <c r="C29" s="53">
        <v>53755.266499999998</v>
      </c>
      <c r="D29" s="53" t="s">
        <v>38</v>
      </c>
      <c r="E29">
        <f t="shared" si="0"/>
        <v>497.99550857214138</v>
      </c>
      <c r="F29">
        <f t="shared" si="1"/>
        <v>498</v>
      </c>
      <c r="G29">
        <f t="shared" si="2"/>
        <v>-1.1301999998977408E-2</v>
      </c>
      <c r="J29">
        <f t="shared" si="5"/>
        <v>-1.1301999998977408E-2</v>
      </c>
      <c r="O29">
        <f t="shared" ca="1" si="3"/>
        <v>-9.2604491976011373E-3</v>
      </c>
      <c r="Q29" s="2">
        <f t="shared" si="4"/>
        <v>38736.766499999998</v>
      </c>
      <c r="R29" s="2"/>
      <c r="S29" s="2"/>
      <c r="T29" s="2"/>
    </row>
    <row r="30" spans="1:21" x14ac:dyDescent="0.2">
      <c r="A30" s="52" t="s">
        <v>70</v>
      </c>
      <c r="B30" s="54" t="s">
        <v>98</v>
      </c>
      <c r="C30" s="53">
        <v>54150.338199999998</v>
      </c>
      <c r="D30" s="53" t="s">
        <v>38</v>
      </c>
      <c r="E30">
        <f t="shared" si="0"/>
        <v>654.99745861961105</v>
      </c>
      <c r="F30">
        <f t="shared" si="1"/>
        <v>655</v>
      </c>
      <c r="G30">
        <f t="shared" si="2"/>
        <v>-6.3950000039767474E-3</v>
      </c>
      <c r="J30">
        <f t="shared" si="5"/>
        <v>-6.3950000039767474E-3</v>
      </c>
      <c r="O30">
        <f t="shared" ca="1" si="3"/>
        <v>-1.7551761802027728E-2</v>
      </c>
      <c r="Q30" s="2">
        <f t="shared" si="4"/>
        <v>39131.838199999998</v>
      </c>
      <c r="R30" s="2"/>
      <c r="S30" s="2"/>
      <c r="T30" s="2"/>
    </row>
    <row r="31" spans="1:21" x14ac:dyDescent="0.2">
      <c r="A31" s="52" t="s">
        <v>70</v>
      </c>
      <c r="B31" s="54" t="s">
        <v>98</v>
      </c>
      <c r="C31" s="53">
        <v>54474.943399999996</v>
      </c>
      <c r="D31" s="53" t="s">
        <v>38</v>
      </c>
      <c r="E31">
        <f t="shared" si="0"/>
        <v>783.99594014979562</v>
      </c>
      <c r="F31">
        <f t="shared" si="1"/>
        <v>784</v>
      </c>
      <c r="G31">
        <f t="shared" si="2"/>
        <v>-1.0216000002401415E-2</v>
      </c>
      <c r="J31">
        <f t="shared" si="5"/>
        <v>-1.0216000002401415E-2</v>
      </c>
      <c r="O31">
        <f t="shared" ca="1" si="3"/>
        <v>-2.4364368973817725E-2</v>
      </c>
      <c r="Q31" s="2">
        <f t="shared" si="4"/>
        <v>39456.443399999996</v>
      </c>
      <c r="R31" s="2"/>
      <c r="S31" s="2"/>
      <c r="T31" s="2"/>
    </row>
    <row r="32" spans="1:21" x14ac:dyDescent="0.2">
      <c r="A32" s="52" t="s">
        <v>70</v>
      </c>
      <c r="B32" s="54" t="s">
        <v>98</v>
      </c>
      <c r="C32" s="53">
        <v>54784.478499999997</v>
      </c>
      <c r="D32" s="53" t="s">
        <v>38</v>
      </c>
      <c r="E32">
        <f t="shared" si="0"/>
        <v>907.0055465279255</v>
      </c>
      <c r="F32">
        <f t="shared" si="1"/>
        <v>907</v>
      </c>
      <c r="G32">
        <f t="shared" si="2"/>
        <v>1.3956999995571095E-2</v>
      </c>
      <c r="J32">
        <f t="shared" si="5"/>
        <v>1.3956999995571095E-2</v>
      </c>
      <c r="O32">
        <f t="shared" ca="1" si="3"/>
        <v>-3.0860110695757031E-2</v>
      </c>
      <c r="Q32" s="2">
        <f t="shared" si="4"/>
        <v>39765.978499999997</v>
      </c>
      <c r="R32" s="2"/>
      <c r="S32" s="2"/>
      <c r="T32" s="2"/>
    </row>
    <row r="33" spans="1:20" x14ac:dyDescent="0.2">
      <c r="A33" s="52" t="s">
        <v>70</v>
      </c>
      <c r="B33" s="54" t="s">
        <v>98</v>
      </c>
      <c r="C33" s="53">
        <v>55083.905599999998</v>
      </c>
      <c r="D33" s="53" t="s">
        <v>38</v>
      </c>
      <c r="E33">
        <f t="shared" si="0"/>
        <v>1025.9982220272307</v>
      </c>
      <c r="F33">
        <f t="shared" si="1"/>
        <v>1026</v>
      </c>
      <c r="G33">
        <f t="shared" si="2"/>
        <v>-4.474000001209788E-3</v>
      </c>
      <c r="J33">
        <f t="shared" si="5"/>
        <v>-4.474000001209788E-3</v>
      </c>
      <c r="O33">
        <f t="shared" ca="1" si="3"/>
        <v>-3.7144608784462532E-2</v>
      </c>
      <c r="Q33" s="2">
        <f t="shared" si="4"/>
        <v>40065.405599999998</v>
      </c>
      <c r="R33" s="2"/>
      <c r="S33" s="2"/>
      <c r="T33" s="2"/>
    </row>
    <row r="34" spans="1:20" x14ac:dyDescent="0.2">
      <c r="B34" s="3"/>
      <c r="C34" s="8"/>
      <c r="D34" s="8"/>
    </row>
    <row r="35" spans="1:20" x14ac:dyDescent="0.2">
      <c r="B35" s="3"/>
      <c r="C35" s="8"/>
      <c r="D35" s="8"/>
    </row>
    <row r="36" spans="1:20" x14ac:dyDescent="0.2">
      <c r="C36" s="8"/>
      <c r="D36" s="8"/>
    </row>
    <row r="37" spans="1:20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2"/>
  <sheetViews>
    <sheetView workbookViewId="0">
      <selection activeCell="A11" sqref="A11:D2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41</v>
      </c>
      <c r="I1" s="38" t="s">
        <v>42</v>
      </c>
      <c r="J1" s="39" t="s">
        <v>40</v>
      </c>
    </row>
    <row r="2" spans="1:16" x14ac:dyDescent="0.2">
      <c r="I2" s="40" t="s">
        <v>43</v>
      </c>
      <c r="J2" s="41" t="s">
        <v>39</v>
      </c>
    </row>
    <row r="3" spans="1:16" x14ac:dyDescent="0.2">
      <c r="A3" s="42" t="s">
        <v>44</v>
      </c>
      <c r="I3" s="40" t="s">
        <v>45</v>
      </c>
      <c r="J3" s="41" t="s">
        <v>37</v>
      </c>
    </row>
    <row r="4" spans="1:16" x14ac:dyDescent="0.2">
      <c r="I4" s="40" t="s">
        <v>46</v>
      </c>
      <c r="J4" s="41" t="s">
        <v>37</v>
      </c>
    </row>
    <row r="5" spans="1:16" ht="13.5" thickBot="1" x14ac:dyDescent="0.25">
      <c r="I5" s="43" t="s">
        <v>47</v>
      </c>
      <c r="J5" s="44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2" si="0">P11</f>
        <v> PSMO 8.2.106 </v>
      </c>
      <c r="B11" s="3" t="str">
        <f t="shared" ref="B11:B22" si="1">IF(H11=INT(H11),"I","II")</f>
        <v>I</v>
      </c>
      <c r="C11" s="8">
        <f t="shared" ref="C11:C22" si="2">1*G11</f>
        <v>27470.0389</v>
      </c>
      <c r="D11" s="10" t="str">
        <f t="shared" ref="D11:D22" si="3">VLOOKUP(F11,I$1:J$5,2,FALSE)</f>
        <v>vis</v>
      </c>
      <c r="E11" s="45">
        <f>VLOOKUP(C11,Active!C$21:E$973,3,FALSE)</f>
        <v>-9947.784309728102</v>
      </c>
      <c r="F11" s="3" t="s">
        <v>47</v>
      </c>
      <c r="G11" s="10" t="str">
        <f t="shared" ref="G11:G22" si="4">MID(I11,3,LEN(I11)-3)</f>
        <v>27470.0389</v>
      </c>
      <c r="H11" s="8">
        <f t="shared" ref="H11:H22" si="5">1*K11</f>
        <v>-9719</v>
      </c>
      <c r="I11" s="46" t="s">
        <v>52</v>
      </c>
      <c r="J11" s="47" t="s">
        <v>53</v>
      </c>
      <c r="K11" s="46">
        <v>-9719</v>
      </c>
      <c r="L11" s="46" t="s">
        <v>54</v>
      </c>
      <c r="M11" s="47" t="s">
        <v>55</v>
      </c>
      <c r="N11" s="47"/>
      <c r="O11" s="48" t="s">
        <v>56</v>
      </c>
      <c r="P11" s="48" t="s">
        <v>57</v>
      </c>
    </row>
    <row r="12" spans="1:16" ht="12.75" customHeight="1" thickBot="1" x14ac:dyDescent="0.25">
      <c r="A12" s="8" t="str">
        <f t="shared" si="0"/>
        <v> APJS 6.253 </v>
      </c>
      <c r="B12" s="3" t="str">
        <f t="shared" si="1"/>
        <v>I</v>
      </c>
      <c r="C12" s="8">
        <f t="shared" si="2"/>
        <v>35200.113100000002</v>
      </c>
      <c r="D12" s="10" t="str">
        <f t="shared" si="3"/>
        <v>vis</v>
      </c>
      <c r="E12" s="45">
        <f>VLOOKUP(C12,Active!C$21:E$973,3,FALSE)</f>
        <v>-6875.8438912885285</v>
      </c>
      <c r="F12" s="3" t="s">
        <v>47</v>
      </c>
      <c r="G12" s="10" t="str">
        <f t="shared" si="4"/>
        <v>35200.1131</v>
      </c>
      <c r="H12" s="8">
        <f t="shared" si="5"/>
        <v>-6647</v>
      </c>
      <c r="I12" s="46" t="s">
        <v>58</v>
      </c>
      <c r="J12" s="47" t="s">
        <v>59</v>
      </c>
      <c r="K12" s="46">
        <v>-6647</v>
      </c>
      <c r="L12" s="46" t="s">
        <v>60</v>
      </c>
      <c r="M12" s="47" t="s">
        <v>61</v>
      </c>
      <c r="N12" s="47"/>
      <c r="O12" s="48" t="s">
        <v>62</v>
      </c>
      <c r="P12" s="48" t="s">
        <v>63</v>
      </c>
    </row>
    <row r="13" spans="1:16" ht="12.75" customHeight="1" thickBot="1" x14ac:dyDescent="0.25">
      <c r="A13" s="8" t="str">
        <f t="shared" si="0"/>
        <v>IBVS 6038 </v>
      </c>
      <c r="B13" s="3" t="str">
        <f t="shared" si="1"/>
        <v>I</v>
      </c>
      <c r="C13" s="8">
        <f t="shared" si="2"/>
        <v>51925.8963</v>
      </c>
      <c r="D13" s="10" t="str">
        <f t="shared" si="3"/>
        <v>vis</v>
      </c>
      <c r="E13" s="45">
        <f>VLOOKUP(C13,Active!C$21:E$973,3,FALSE)</f>
        <v>-228.99832256972235</v>
      </c>
      <c r="F13" s="3" t="s">
        <v>47</v>
      </c>
      <c r="G13" s="10" t="str">
        <f t="shared" si="4"/>
        <v>51925.8963</v>
      </c>
      <c r="H13" s="8">
        <f t="shared" si="5"/>
        <v>0</v>
      </c>
      <c r="I13" s="46" t="s">
        <v>64</v>
      </c>
      <c r="J13" s="47" t="s">
        <v>65</v>
      </c>
      <c r="K13" s="46">
        <v>0</v>
      </c>
      <c r="L13" s="46" t="s">
        <v>66</v>
      </c>
      <c r="M13" s="47" t="s">
        <v>67</v>
      </c>
      <c r="N13" s="47" t="s">
        <v>68</v>
      </c>
      <c r="O13" s="48" t="s">
        <v>69</v>
      </c>
      <c r="P13" s="49" t="s">
        <v>70</v>
      </c>
    </row>
    <row r="14" spans="1:16" ht="12.75" customHeight="1" thickBot="1" x14ac:dyDescent="0.25">
      <c r="A14" s="8" t="str">
        <f t="shared" si="0"/>
        <v>IBVS 6038 </v>
      </c>
      <c r="B14" s="3" t="str">
        <f t="shared" si="1"/>
        <v>I</v>
      </c>
      <c r="C14" s="8">
        <f t="shared" si="2"/>
        <v>52205.213100000001</v>
      </c>
      <c r="D14" s="10" t="str">
        <f t="shared" si="3"/>
        <v>vis</v>
      </c>
      <c r="E14" s="45">
        <f>VLOOKUP(C14,Active!C$21:E$973,3,FALSE)</f>
        <v>-117.99750352594086</v>
      </c>
      <c r="F14" s="3" t="s">
        <v>47</v>
      </c>
      <c r="G14" s="10" t="str">
        <f t="shared" si="4"/>
        <v>52205.2131</v>
      </c>
      <c r="H14" s="8">
        <f t="shared" si="5"/>
        <v>111</v>
      </c>
      <c r="I14" s="46" t="s">
        <v>71</v>
      </c>
      <c r="J14" s="47" t="s">
        <v>72</v>
      </c>
      <c r="K14" s="46">
        <v>111</v>
      </c>
      <c r="L14" s="46" t="s">
        <v>73</v>
      </c>
      <c r="M14" s="47" t="s">
        <v>67</v>
      </c>
      <c r="N14" s="47" t="s">
        <v>68</v>
      </c>
      <c r="O14" s="48" t="s">
        <v>69</v>
      </c>
      <c r="P14" s="49" t="s">
        <v>70</v>
      </c>
    </row>
    <row r="15" spans="1:16" ht="12.75" customHeight="1" thickBot="1" x14ac:dyDescent="0.25">
      <c r="A15" s="8" t="str">
        <f t="shared" si="0"/>
        <v>IBVS 6038 </v>
      </c>
      <c r="B15" s="3" t="str">
        <f t="shared" si="1"/>
        <v>I</v>
      </c>
      <c r="C15" s="8">
        <f t="shared" si="2"/>
        <v>52663.167099999999</v>
      </c>
      <c r="D15" s="10" t="str">
        <f t="shared" si="3"/>
        <v>vis</v>
      </c>
      <c r="E15" s="45">
        <f>VLOOKUP(C15,Active!C$21:E$973,3,FALSE)</f>
        <v>63.993945195996325</v>
      </c>
      <c r="F15" s="3" t="s">
        <v>47</v>
      </c>
      <c r="G15" s="10" t="str">
        <f t="shared" si="4"/>
        <v>52663.1671</v>
      </c>
      <c r="H15" s="8">
        <f t="shared" si="5"/>
        <v>293</v>
      </c>
      <c r="I15" s="46" t="s">
        <v>74</v>
      </c>
      <c r="J15" s="47" t="s">
        <v>75</v>
      </c>
      <c r="K15" s="46">
        <v>293</v>
      </c>
      <c r="L15" s="46" t="s">
        <v>76</v>
      </c>
      <c r="M15" s="47" t="s">
        <v>67</v>
      </c>
      <c r="N15" s="47" t="s">
        <v>68</v>
      </c>
      <c r="O15" s="48" t="s">
        <v>69</v>
      </c>
      <c r="P15" s="49" t="s">
        <v>70</v>
      </c>
    </row>
    <row r="16" spans="1:16" ht="12.75" customHeight="1" thickBot="1" x14ac:dyDescent="0.25">
      <c r="A16" s="8" t="str">
        <f t="shared" si="0"/>
        <v>IBVS 6038 </v>
      </c>
      <c r="B16" s="3" t="str">
        <f t="shared" si="1"/>
        <v>I</v>
      </c>
      <c r="C16" s="8">
        <f t="shared" si="2"/>
        <v>53020.494299999998</v>
      </c>
      <c r="D16" s="10" t="str">
        <f t="shared" si="3"/>
        <v>vis</v>
      </c>
      <c r="E16" s="45">
        <f>VLOOKUP(C16,Active!C$21:E$973,3,FALSE)</f>
        <v>205.99618733331499</v>
      </c>
      <c r="F16" s="3" t="s">
        <v>47</v>
      </c>
      <c r="G16" s="10" t="str">
        <f t="shared" si="4"/>
        <v>53020.4943</v>
      </c>
      <c r="H16" s="8">
        <f t="shared" si="5"/>
        <v>435</v>
      </c>
      <c r="I16" s="46" t="s">
        <v>77</v>
      </c>
      <c r="J16" s="47" t="s">
        <v>78</v>
      </c>
      <c r="K16" s="46">
        <v>435</v>
      </c>
      <c r="L16" s="46" t="s">
        <v>79</v>
      </c>
      <c r="M16" s="47" t="s">
        <v>67</v>
      </c>
      <c r="N16" s="47" t="s">
        <v>68</v>
      </c>
      <c r="O16" s="48" t="s">
        <v>69</v>
      </c>
      <c r="P16" s="49" t="s">
        <v>70</v>
      </c>
    </row>
    <row r="17" spans="1:16" ht="12.75" customHeight="1" thickBot="1" x14ac:dyDescent="0.25">
      <c r="A17" s="8" t="str">
        <f t="shared" si="0"/>
        <v>IBVS 6038 </v>
      </c>
      <c r="B17" s="3" t="str">
        <f t="shared" si="1"/>
        <v>I</v>
      </c>
      <c r="C17" s="8">
        <f t="shared" si="2"/>
        <v>53408.0095</v>
      </c>
      <c r="D17" s="10" t="str">
        <f t="shared" si="3"/>
        <v>vis</v>
      </c>
      <c r="E17" s="45">
        <f>VLOOKUP(C17,Active!C$21:E$973,3,FALSE)</f>
        <v>359.99517554997402</v>
      </c>
      <c r="F17" s="3" t="s">
        <v>47</v>
      </c>
      <c r="G17" s="10" t="str">
        <f t="shared" si="4"/>
        <v>53408.0095</v>
      </c>
      <c r="H17" s="8">
        <f t="shared" si="5"/>
        <v>589</v>
      </c>
      <c r="I17" s="46" t="s">
        <v>80</v>
      </c>
      <c r="J17" s="47" t="s">
        <v>81</v>
      </c>
      <c r="K17" s="46">
        <v>589</v>
      </c>
      <c r="L17" s="46" t="s">
        <v>82</v>
      </c>
      <c r="M17" s="47" t="s">
        <v>67</v>
      </c>
      <c r="N17" s="47" t="s">
        <v>68</v>
      </c>
      <c r="O17" s="48" t="s">
        <v>69</v>
      </c>
      <c r="P17" s="49" t="s">
        <v>70</v>
      </c>
    </row>
    <row r="18" spans="1:16" ht="12.75" customHeight="1" thickBot="1" x14ac:dyDescent="0.25">
      <c r="A18" s="8" t="str">
        <f t="shared" si="0"/>
        <v>IBVS 6038 </v>
      </c>
      <c r="B18" s="3" t="str">
        <f t="shared" si="1"/>
        <v>I</v>
      </c>
      <c r="C18" s="8">
        <f t="shared" si="2"/>
        <v>53755.266499999998</v>
      </c>
      <c r="D18" s="10" t="str">
        <f t="shared" si="3"/>
        <v>vis</v>
      </c>
      <c r="E18" s="45">
        <f>VLOOKUP(C18,Active!C$21:E$973,3,FALSE)</f>
        <v>497.99550857214138</v>
      </c>
      <c r="F18" s="3" t="s">
        <v>47</v>
      </c>
      <c r="G18" s="10" t="str">
        <f t="shared" si="4"/>
        <v>53755.2665</v>
      </c>
      <c r="H18" s="8">
        <f t="shared" si="5"/>
        <v>727</v>
      </c>
      <c r="I18" s="46" t="s">
        <v>83</v>
      </c>
      <c r="J18" s="47" t="s">
        <v>84</v>
      </c>
      <c r="K18" s="46">
        <v>727</v>
      </c>
      <c r="L18" s="46" t="s">
        <v>85</v>
      </c>
      <c r="M18" s="47" t="s">
        <v>67</v>
      </c>
      <c r="N18" s="47" t="s">
        <v>68</v>
      </c>
      <c r="O18" s="48" t="s">
        <v>69</v>
      </c>
      <c r="P18" s="49" t="s">
        <v>70</v>
      </c>
    </row>
    <row r="19" spans="1:16" ht="12.75" customHeight="1" thickBot="1" x14ac:dyDescent="0.25">
      <c r="A19" s="8" t="str">
        <f t="shared" si="0"/>
        <v>IBVS 6038 </v>
      </c>
      <c r="B19" s="3" t="str">
        <f t="shared" si="1"/>
        <v>I</v>
      </c>
      <c r="C19" s="8">
        <f t="shared" si="2"/>
        <v>54150.338199999998</v>
      </c>
      <c r="D19" s="10" t="str">
        <f t="shared" si="3"/>
        <v>vis</v>
      </c>
      <c r="E19" s="45">
        <f>VLOOKUP(C19,Active!C$21:E$973,3,FALSE)</f>
        <v>654.99745861961105</v>
      </c>
      <c r="F19" s="3" t="s">
        <v>47</v>
      </c>
      <c r="G19" s="10" t="str">
        <f t="shared" si="4"/>
        <v>54150.3382</v>
      </c>
      <c r="H19" s="8">
        <f t="shared" si="5"/>
        <v>884</v>
      </c>
      <c r="I19" s="46" t="s">
        <v>86</v>
      </c>
      <c r="J19" s="47" t="s">
        <v>87</v>
      </c>
      <c r="K19" s="46">
        <v>884</v>
      </c>
      <c r="L19" s="46" t="s">
        <v>88</v>
      </c>
      <c r="M19" s="47" t="s">
        <v>67</v>
      </c>
      <c r="N19" s="47" t="s">
        <v>68</v>
      </c>
      <c r="O19" s="48" t="s">
        <v>69</v>
      </c>
      <c r="P19" s="49" t="s">
        <v>70</v>
      </c>
    </row>
    <row r="20" spans="1:16" ht="12.75" customHeight="1" thickBot="1" x14ac:dyDescent="0.25">
      <c r="A20" s="8" t="str">
        <f t="shared" si="0"/>
        <v>IBVS 6038 </v>
      </c>
      <c r="B20" s="3" t="str">
        <f t="shared" si="1"/>
        <v>I</v>
      </c>
      <c r="C20" s="8">
        <f t="shared" si="2"/>
        <v>54474.943399999996</v>
      </c>
      <c r="D20" s="10" t="str">
        <f t="shared" si="3"/>
        <v>vis</v>
      </c>
      <c r="E20" s="45">
        <f>VLOOKUP(C20,Active!C$21:E$973,3,FALSE)</f>
        <v>783.99594014979562</v>
      </c>
      <c r="F20" s="3" t="s">
        <v>47</v>
      </c>
      <c r="G20" s="10" t="str">
        <f t="shared" si="4"/>
        <v>54474.9434</v>
      </c>
      <c r="H20" s="8">
        <f t="shared" si="5"/>
        <v>1013</v>
      </c>
      <c r="I20" s="46" t="s">
        <v>89</v>
      </c>
      <c r="J20" s="47" t="s">
        <v>90</v>
      </c>
      <c r="K20" s="46">
        <v>1013</v>
      </c>
      <c r="L20" s="46" t="s">
        <v>91</v>
      </c>
      <c r="M20" s="47" t="s">
        <v>67</v>
      </c>
      <c r="N20" s="47" t="s">
        <v>68</v>
      </c>
      <c r="O20" s="48" t="s">
        <v>69</v>
      </c>
      <c r="P20" s="49" t="s">
        <v>70</v>
      </c>
    </row>
    <row r="21" spans="1:16" ht="12.75" customHeight="1" thickBot="1" x14ac:dyDescent="0.25">
      <c r="A21" s="8" t="str">
        <f t="shared" si="0"/>
        <v>IBVS 6038 </v>
      </c>
      <c r="B21" s="3" t="str">
        <f t="shared" si="1"/>
        <v>I</v>
      </c>
      <c r="C21" s="8">
        <f t="shared" si="2"/>
        <v>54784.478499999997</v>
      </c>
      <c r="D21" s="10" t="str">
        <f t="shared" si="3"/>
        <v>vis</v>
      </c>
      <c r="E21" s="45">
        <f>VLOOKUP(C21,Active!C$21:E$973,3,FALSE)</f>
        <v>907.0055465279255</v>
      </c>
      <c r="F21" s="3" t="s">
        <v>47</v>
      </c>
      <c r="G21" s="10" t="str">
        <f t="shared" si="4"/>
        <v>54784.4785</v>
      </c>
      <c r="H21" s="8">
        <f t="shared" si="5"/>
        <v>1136</v>
      </c>
      <c r="I21" s="46" t="s">
        <v>92</v>
      </c>
      <c r="J21" s="47" t="s">
        <v>93</v>
      </c>
      <c r="K21" s="46">
        <v>1136</v>
      </c>
      <c r="L21" s="46" t="s">
        <v>94</v>
      </c>
      <c r="M21" s="47" t="s">
        <v>67</v>
      </c>
      <c r="N21" s="47" t="s">
        <v>68</v>
      </c>
      <c r="O21" s="48" t="s">
        <v>69</v>
      </c>
      <c r="P21" s="49" t="s">
        <v>70</v>
      </c>
    </row>
    <row r="22" spans="1:16" ht="12.75" customHeight="1" thickBot="1" x14ac:dyDescent="0.25">
      <c r="A22" s="8" t="str">
        <f t="shared" si="0"/>
        <v>IBVS 6038 </v>
      </c>
      <c r="B22" s="3" t="str">
        <f t="shared" si="1"/>
        <v>I</v>
      </c>
      <c r="C22" s="8">
        <f t="shared" si="2"/>
        <v>55083.905599999998</v>
      </c>
      <c r="D22" s="10" t="str">
        <f t="shared" si="3"/>
        <v>vis</v>
      </c>
      <c r="E22" s="45">
        <f>VLOOKUP(C22,Active!C$21:E$973,3,FALSE)</f>
        <v>1025.9982220272307</v>
      </c>
      <c r="F22" s="3" t="s">
        <v>47</v>
      </c>
      <c r="G22" s="10" t="str">
        <f t="shared" si="4"/>
        <v>55083.9056</v>
      </c>
      <c r="H22" s="8">
        <f t="shared" si="5"/>
        <v>1255</v>
      </c>
      <c r="I22" s="46" t="s">
        <v>95</v>
      </c>
      <c r="J22" s="47" t="s">
        <v>96</v>
      </c>
      <c r="K22" s="46">
        <v>1255</v>
      </c>
      <c r="L22" s="46" t="s">
        <v>97</v>
      </c>
      <c r="M22" s="47" t="s">
        <v>67</v>
      </c>
      <c r="N22" s="47" t="s">
        <v>68</v>
      </c>
      <c r="O22" s="48" t="s">
        <v>69</v>
      </c>
      <c r="P22" s="49" t="s">
        <v>70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</sheetData>
  <phoneticPr fontId="7" type="noConversion"/>
  <hyperlinks>
    <hyperlink ref="A3" r:id="rId1"/>
    <hyperlink ref="P13" r:id="rId2" display="http://www.konkoly.hu/cgi-bin/IBVS?6038"/>
    <hyperlink ref="P14" r:id="rId3" display="http://www.konkoly.hu/cgi-bin/IBVS?6038"/>
    <hyperlink ref="P15" r:id="rId4" display="http://www.konkoly.hu/cgi-bin/IBVS?6038"/>
    <hyperlink ref="P16" r:id="rId5" display="http://www.konkoly.hu/cgi-bin/IBVS?6038"/>
    <hyperlink ref="P17" r:id="rId6" display="http://www.konkoly.hu/cgi-bin/IBVS?6038"/>
    <hyperlink ref="P18" r:id="rId7" display="http://www.konkoly.hu/cgi-bin/IBVS?6038"/>
    <hyperlink ref="P19" r:id="rId8" display="http://www.konkoly.hu/cgi-bin/IBVS?6038"/>
    <hyperlink ref="P20" r:id="rId9" display="http://www.konkoly.hu/cgi-bin/IBVS?6038"/>
    <hyperlink ref="P21" r:id="rId10" display="http://www.konkoly.hu/cgi-bin/IBVS?6038"/>
    <hyperlink ref="P22" r:id="rId11" display="http://www.konkoly.hu/cgi-bin/IBVS?603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2024-01-26T05:23:18Z</dcterms:modified>
</cp:coreProperties>
</file>