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E19A133-D888-4F3D-94B7-CFA396217DD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C21" i="1"/>
  <c r="E21" i="1"/>
  <c r="F21" i="1"/>
  <c r="E9" i="1"/>
  <c r="A21" i="1"/>
  <c r="F16" i="1"/>
  <c r="C17" i="1"/>
  <c r="Q21" i="1"/>
  <c r="G21" i="1"/>
  <c r="H21" i="1"/>
  <c r="C12" i="1"/>
  <c r="C11" i="1"/>
  <c r="O29" i="1" l="1"/>
  <c r="O25" i="1"/>
  <c r="O21" i="1"/>
  <c r="O28" i="1"/>
  <c r="O27" i="1"/>
  <c r="C15" i="1"/>
  <c r="O33" i="1"/>
  <c r="O24" i="1"/>
  <c r="O32" i="1"/>
  <c r="O23" i="1"/>
  <c r="O31" i="1"/>
  <c r="O22" i="1"/>
  <c r="O30" i="1"/>
  <c r="O26" i="1"/>
  <c r="O34" i="1"/>
  <c r="O3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<sst xmlns="http://schemas.openxmlformats.org/spreadsheetml/2006/main" count="201" uniqueCount="98">
  <si>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</si>
  <si>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</si>
  <si>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</si>
  <si>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</si>
  <si>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</si>
  <si>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</si>
  <si>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</si>
  <si>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</si>
  <si>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</si>
  <si>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</si>
  <si>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</si>
  <si>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</si>
  <si>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</si>
  <si>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</si>
  <si>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</si>
  <si>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</si>
  <si>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</si>
  <si>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</si>
  <si>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</si>
  <si>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</si>
  <si>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</si>
  <si>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</si>
  <si>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</si>
  <si>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</si>
  <si>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</si>
  <si>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</si>
  <si>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</si>
  <si>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</si>
  <si>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</si>
  <si>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</si>
  <si>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</si>
  <si>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</si>
  <si>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</si>
  <si>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</si>
  <si>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</si>
  <si>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</si>
  <si>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</si>
  <si>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</si>
  <si>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</si>
  <si>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</si>
  <si>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</si>
  <si>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</si>
  <si>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</si>
  <si>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</si>
  <si>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</si>
  <si>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</si>
  <si>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</si>
  <si>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</si>
  <si>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YY CMa</t>
  </si>
  <si>
    <t>EA</t>
  </si>
  <si>
    <t>YY CMa / GSC 28068.441</t>
  </si>
  <si>
    <t>Malkov</t>
  </si>
  <si>
    <t>2427479.52 </t>
  </si>
  <si>
    <t> 11.02.1934 00:28 </t>
  </si>
  <si>
    <t> 1.67 </t>
  </si>
  <si>
    <t>P </t>
  </si>
  <si>
    <t> A.van Hoof </t>
  </si>
  <si>
    <t> CIEL 58.43 </t>
  </si>
  <si>
    <t>2427541.23 </t>
  </si>
  <si>
    <t> 13.04.1934 17:31 </t>
  </si>
  <si>
    <t> 1.64 </t>
  </si>
  <si>
    <t>2427748.45 </t>
  </si>
  <si>
    <t> 06.11.1934 22:48 </t>
  </si>
  <si>
    <t> 1.22 </t>
  </si>
  <si>
    <t>2427810.35 </t>
  </si>
  <si>
    <t> 07.01.1935 20:24 </t>
  </si>
  <si>
    <t> 1.38 </t>
  </si>
  <si>
    <t>2427827.31 </t>
  </si>
  <si>
    <t> 24.01.1935 19:26 </t>
  </si>
  <si>
    <t> 1.51 </t>
  </si>
  <si>
    <t>2427844.27 </t>
  </si>
  <si>
    <t> 10.02.1935 18:28 </t>
  </si>
  <si>
    <t> 1.63 </t>
  </si>
  <si>
    <t>2428158.28 </t>
  </si>
  <si>
    <t> 21.12.1935 18:43 </t>
  </si>
  <si>
    <t> 1.36 </t>
  </si>
  <si>
    <t>2428197.32 </t>
  </si>
  <si>
    <t> 29.01.1936 19:40 </t>
  </si>
  <si>
    <t> 1.12 </t>
  </si>
  <si>
    <t>2428214.47 </t>
  </si>
  <si>
    <t> 15.02.1936 23:16 </t>
  </si>
  <si>
    <t> 1.43 </t>
  </si>
  <si>
    <t>2428248.24 </t>
  </si>
  <si>
    <t> 20.03.1936 17:45 </t>
  </si>
  <si>
    <t> 1.53 </t>
  </si>
  <si>
    <t>2428270.24 </t>
  </si>
  <si>
    <t> 11.04.1936 17:45 </t>
  </si>
  <si>
    <t> 1.08 </t>
  </si>
  <si>
    <t>2428287.25 </t>
  </si>
  <si>
    <t> 28.04.1936 18:00 </t>
  </si>
  <si>
    <t> 1.25 </t>
  </si>
  <si>
    <t>2428545.31 </t>
  </si>
  <si>
    <t> 11.01.1937 19:26 </t>
  </si>
  <si>
    <t> 1.16 </t>
  </si>
  <si>
    <t>2428601.27 </t>
  </si>
  <si>
    <t> 08.03.1937 18:28 </t>
  </si>
  <si>
    <t> 1.00 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</si>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</sst>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CMa - O-C Diagr.</a:t>
            </a:r>
          </a:p>
        </c:rich>
      </c:tx>
      <c:layout>
        <c:manualLayout>
          <c:xMode val="edge"/>
          <c:yMode val="edge"/>
          <c:x val="0.3849624060150376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723926380368099"/>
          <c:w val="0.8345864661654135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-105</c:v>
                </c:pt>
                <c:pt idx="2">
                  <c:v>-94</c:v>
                </c:pt>
                <c:pt idx="3">
                  <c:v>-57</c:v>
                </c:pt>
                <c:pt idx="4">
                  <c:v>-46</c:v>
                </c:pt>
                <c:pt idx="5">
                  <c:v>-43</c:v>
                </c:pt>
                <c:pt idx="6">
                  <c:v>-40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85</c:v>
                </c:pt>
                <c:pt idx="14">
                  <c:v>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7.1250000000873115E-2</c:v>
                </c:pt>
                <c:pt idx="2">
                  <c:v>7.730000000083237E-2</c:v>
                </c:pt>
                <c:pt idx="3">
                  <c:v>-0.25234999999884167</c:v>
                </c:pt>
                <c:pt idx="4">
                  <c:v>-5.6300000000192085E-2</c:v>
                </c:pt>
                <c:pt idx="5">
                  <c:v>7.5350000002799788E-2</c:v>
                </c:pt>
                <c:pt idx="6">
                  <c:v>0.20700000000215368</c:v>
                </c:pt>
                <c:pt idx="7">
                  <c:v>8.7800000001152512E-2</c:v>
                </c:pt>
                <c:pt idx="8">
                  <c:v>-0.13834999999744468</c:v>
                </c:pt>
                <c:pt idx="9">
                  <c:v>0.18330000000059954</c:v>
                </c:pt>
                <c:pt idx="10">
                  <c:v>0.29660000000149012</c:v>
                </c:pt>
                <c:pt idx="11">
                  <c:v>-0.1411999999982072</c:v>
                </c:pt>
                <c:pt idx="12">
                  <c:v>4.0450000000419095E-2</c:v>
                </c:pt>
                <c:pt idx="13">
                  <c:v>6.5750000001571607E-2</c:v>
                </c:pt>
                <c:pt idx="14">
                  <c:v>-6.8749999998544808E-2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D1-436A-9796-0319BFB5B5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-105</c:v>
                </c:pt>
                <c:pt idx="2">
                  <c:v>-94</c:v>
                </c:pt>
                <c:pt idx="3">
                  <c:v>-57</c:v>
                </c:pt>
                <c:pt idx="4">
                  <c:v>-46</c:v>
                </c:pt>
                <c:pt idx="5">
                  <c:v>-43</c:v>
                </c:pt>
                <c:pt idx="6">
                  <c:v>-40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85</c:v>
                </c:pt>
                <c:pt idx="14">
                  <c:v>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D1-436A-9796-0319BFB5B5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-105</c:v>
                </c:pt>
                <c:pt idx="2">
                  <c:v>-94</c:v>
                </c:pt>
                <c:pt idx="3">
                  <c:v>-57</c:v>
                </c:pt>
                <c:pt idx="4">
                  <c:v>-46</c:v>
                </c:pt>
                <c:pt idx="5">
                  <c:v>-43</c:v>
                </c:pt>
                <c:pt idx="6">
                  <c:v>-40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85</c:v>
                </c:pt>
                <c:pt idx="14">
                  <c:v>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D1-436A-9796-0319BFB5B5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-105</c:v>
                </c:pt>
                <c:pt idx="2">
                  <c:v>-94</c:v>
                </c:pt>
                <c:pt idx="3">
                  <c:v>-57</c:v>
                </c:pt>
                <c:pt idx="4">
                  <c:v>-46</c:v>
                </c:pt>
                <c:pt idx="5">
                  <c:v>-43</c:v>
                </c:pt>
                <c:pt idx="6">
                  <c:v>-40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85</c:v>
                </c:pt>
                <c:pt idx="14">
                  <c:v>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D1-436A-9796-0319BFB5B5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-105</c:v>
                </c:pt>
                <c:pt idx="2">
                  <c:v>-94</c:v>
                </c:pt>
                <c:pt idx="3">
                  <c:v>-57</c:v>
                </c:pt>
                <c:pt idx="4">
                  <c:v>-46</c:v>
                </c:pt>
                <c:pt idx="5">
                  <c:v>-43</c:v>
                </c:pt>
                <c:pt idx="6">
                  <c:v>-40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85</c:v>
                </c:pt>
                <c:pt idx="14">
                  <c:v>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D1-436A-9796-0319BFB5B5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-105</c:v>
                </c:pt>
                <c:pt idx="2">
                  <c:v>-94</c:v>
                </c:pt>
                <c:pt idx="3">
                  <c:v>-57</c:v>
                </c:pt>
                <c:pt idx="4">
                  <c:v>-46</c:v>
                </c:pt>
                <c:pt idx="5">
                  <c:v>-43</c:v>
                </c:pt>
                <c:pt idx="6">
                  <c:v>-40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85</c:v>
                </c:pt>
                <c:pt idx="14">
                  <c:v>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D1-436A-9796-0319BFB5B5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-105</c:v>
                </c:pt>
                <c:pt idx="2">
                  <c:v>-94</c:v>
                </c:pt>
                <c:pt idx="3">
                  <c:v>-57</c:v>
                </c:pt>
                <c:pt idx="4">
                  <c:v>-46</c:v>
                </c:pt>
                <c:pt idx="5">
                  <c:v>-43</c:v>
                </c:pt>
                <c:pt idx="6">
                  <c:v>-40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85</c:v>
                </c:pt>
                <c:pt idx="14">
                  <c:v>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D1-436A-9796-0319BFB5B5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-105</c:v>
                </c:pt>
                <c:pt idx="2">
                  <c:v>-94</c:v>
                </c:pt>
                <c:pt idx="3">
                  <c:v>-57</c:v>
                </c:pt>
                <c:pt idx="4">
                  <c:v>-46</c:v>
                </c:pt>
                <c:pt idx="5">
                  <c:v>-43</c:v>
                </c:pt>
                <c:pt idx="6">
                  <c:v>-40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85</c:v>
                </c:pt>
                <c:pt idx="14">
                  <c:v>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2.9844521452340865E-2</c:v>
                </c:pt>
                <c:pt idx="1">
                  <c:v>3.0424179468176691E-2</c:v>
                </c:pt>
                <c:pt idx="2">
                  <c:v>3.0363453390327224E-2</c:v>
                </c:pt>
                <c:pt idx="3">
                  <c:v>3.0159192946651744E-2</c:v>
                </c:pt>
                <c:pt idx="4">
                  <c:v>3.0098466868802274E-2</c:v>
                </c:pt>
                <c:pt idx="5">
                  <c:v>3.0081905211206964E-2</c:v>
                </c:pt>
                <c:pt idx="6">
                  <c:v>3.0065343553611658E-2</c:v>
                </c:pt>
                <c:pt idx="7">
                  <c:v>2.9756192611832547E-2</c:v>
                </c:pt>
                <c:pt idx="8">
                  <c:v>2.9717548744110159E-2</c:v>
                </c:pt>
                <c:pt idx="9">
                  <c:v>2.9700987086514849E-2</c:v>
                </c:pt>
                <c:pt idx="10">
                  <c:v>2.9667863771324233E-2</c:v>
                </c:pt>
                <c:pt idx="11">
                  <c:v>2.9645781561197154E-2</c:v>
                </c:pt>
                <c:pt idx="12">
                  <c:v>2.9629219903601844E-2</c:v>
                </c:pt>
                <c:pt idx="13">
                  <c:v>2.9375274487140432E-2</c:v>
                </c:pt>
                <c:pt idx="14">
                  <c:v>2.9320068961822734E-2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D1-436A-9796-0319BFB5B52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-105</c:v>
                </c:pt>
                <c:pt idx="2">
                  <c:v>-94</c:v>
                </c:pt>
                <c:pt idx="3">
                  <c:v>-57</c:v>
                </c:pt>
                <c:pt idx="4">
                  <c:v>-46</c:v>
                </c:pt>
                <c:pt idx="5">
                  <c:v>-43</c:v>
                </c:pt>
                <c:pt idx="6">
                  <c:v>-40</c:v>
                </c:pt>
                <c:pt idx="7">
                  <c:v>16</c:v>
                </c:pt>
                <c:pt idx="8">
                  <c:v>23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85</c:v>
                </c:pt>
                <c:pt idx="14">
                  <c:v>95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D1-436A-9796-0319BFB5B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429136"/>
        <c:axId val="1"/>
      </c:scatterChart>
      <c:valAx>
        <c:axId val="51442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429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024539877300615"/>
          <c:w val="0.714285714285714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47625</xdr:rowOff>
    </xdr:from>
    <xdr:to>
      <xdr:col>17</xdr:col>
      <xdr:colOff>152400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4AE24A-DADD-9B4E-E4CB-8431D542F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50" t="s">
        <v>48</v>
      </c>
      <c r="G1" s="32">
        <v>7.0051899999999998</v>
      </c>
      <c r="H1" s="33">
        <v>-19.1431</v>
      </c>
      <c r="I1" s="34">
        <v>28068.440999999999</v>
      </c>
      <c r="J1" s="34">
        <v>5.6094499999999998</v>
      </c>
      <c r="K1" s="31" t="s">
        <v>49</v>
      </c>
      <c r="L1" s="33"/>
      <c r="M1" s="34">
        <v>28068.440999999999</v>
      </c>
      <c r="N1" s="34">
        <v>5.6094499999999998</v>
      </c>
      <c r="O1" s="37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53105.544000000002</v>
      </c>
      <c r="D4" s="28">
        <v>5.6121080000000001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28068.440999999999</v>
      </c>
      <c r="D7" s="29" t="s">
        <v>51</v>
      </c>
    </row>
    <row r="8" spans="1:15" x14ac:dyDescent="0.2">
      <c r="A8" t="s">
        <v>3</v>
      </c>
      <c r="C8" s="54">
        <v>5.6094499999999998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2.9844521452340865E-2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-5.5205525317697852E-6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28601.368070068962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5.6094444794474683</v>
      </c>
      <c r="E16" s="14" t="s">
        <v>30</v>
      </c>
      <c r="F16" s="36">
        <f ca="1">NOW()+15018.5+$C$5/24</f>
        <v>60335.766781597216</v>
      </c>
    </row>
    <row r="17" spans="1:18" ht="13.5" thickBot="1" x14ac:dyDescent="0.25">
      <c r="A17" s="14" t="s">
        <v>27</v>
      </c>
      <c r="B17" s="10"/>
      <c r="C17" s="10">
        <f>COUNT(C21:C2191)</f>
        <v>15</v>
      </c>
      <c r="E17" s="14" t="s">
        <v>35</v>
      </c>
      <c r="F17" s="15">
        <f ca="1">ROUND(2*(F16-$C$7)/$C$8,0)/2+F15</f>
        <v>5753.5</v>
      </c>
    </row>
    <row r="18" spans="1:18" ht="14.25" thickTop="1" thickBot="1" x14ac:dyDescent="0.25">
      <c r="A18" s="16" t="s">
        <v>5</v>
      </c>
      <c r="B18" s="10"/>
      <c r="C18" s="19">
        <f ca="1">+C15</f>
        <v>28601.368070068962</v>
      </c>
      <c r="D18" s="20">
        <f ca="1">+C16</f>
        <v>5.6094444794474683</v>
      </c>
      <c r="E18" s="14" t="s">
        <v>36</v>
      </c>
      <c r="F18" s="23">
        <f ca="1">ROUND(2*(F16-$C$15)/$C$16,0)/2+F15</f>
        <v>5658.5</v>
      </c>
    </row>
    <row r="19" spans="1:18" ht="13.5" thickTop="1" x14ac:dyDescent="0.2">
      <c r="E19" s="14" t="s">
        <v>31</v>
      </c>
      <c r="F19" s="18">
        <f ca="1">+$C$15+$C$16*F18-15018.5-$C$5/24</f>
        <v>45324.3054903558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tr">
        <f>D7</f>
        <v>Malkov</v>
      </c>
      <c r="C21" s="8">
        <f>C$7</f>
        <v>28068.440999999999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2.9844521452340865E-2</v>
      </c>
      <c r="Q21" s="2">
        <f>+C21-15018.5</f>
        <v>13049.940999999999</v>
      </c>
    </row>
    <row r="22" spans="1:18" x14ac:dyDescent="0.2">
      <c r="A22" s="51" t="s">
        <v>57</v>
      </c>
      <c r="B22" s="53" t="s">
        <v>97</v>
      </c>
      <c r="C22" s="52">
        <v>27479.52</v>
      </c>
      <c r="D22" s="52" t="s">
        <v>38</v>
      </c>
      <c r="E22">
        <f t="shared" ref="E22:E35" si="0">+(C22-C$7)/C$8</f>
        <v>-104.98729821996781</v>
      </c>
      <c r="F22">
        <f t="shared" ref="F22:F35" si="1">ROUND(2*E22,0)/2</f>
        <v>-105</v>
      </c>
      <c r="G22">
        <f t="shared" ref="G22:G35" si="2">+C22-(C$7+F22*C$8)</f>
        <v>7.1250000000873115E-2</v>
      </c>
      <c r="H22">
        <f t="shared" ref="H22:H35" si="3">+G22</f>
        <v>7.1250000000873115E-2</v>
      </c>
      <c r="O22">
        <f t="shared" ref="O22:O35" ca="1" si="4">+C$11+C$12*$F22</f>
        <v>3.0424179468176691E-2</v>
      </c>
      <c r="Q22" s="2">
        <f t="shared" ref="Q22:Q35" si="5">+C22-15018.5</f>
        <v>12461.02</v>
      </c>
    </row>
    <row r="23" spans="1:18" x14ac:dyDescent="0.2">
      <c r="A23" s="51" t="s">
        <v>57</v>
      </c>
      <c r="B23" s="53" t="s">
        <v>97</v>
      </c>
      <c r="C23" s="52">
        <v>27541.23</v>
      </c>
      <c r="D23" s="52" t="s">
        <v>38</v>
      </c>
      <c r="E23">
        <f t="shared" si="0"/>
        <v>-93.986219682856486</v>
      </c>
      <c r="F23">
        <f t="shared" si="1"/>
        <v>-94</v>
      </c>
      <c r="G23">
        <f t="shared" si="2"/>
        <v>7.730000000083237E-2</v>
      </c>
      <c r="H23">
        <f t="shared" si="3"/>
        <v>7.730000000083237E-2</v>
      </c>
      <c r="O23">
        <f t="shared" ca="1" si="4"/>
        <v>3.0363453390327224E-2</v>
      </c>
      <c r="Q23" s="2">
        <f t="shared" si="5"/>
        <v>12522.73</v>
      </c>
    </row>
    <row r="24" spans="1:18" x14ac:dyDescent="0.2">
      <c r="A24" s="51" t="s">
        <v>57</v>
      </c>
      <c r="B24" s="53" t="s">
        <v>97</v>
      </c>
      <c r="C24" s="52">
        <v>27748.45</v>
      </c>
      <c r="D24" s="52" t="s">
        <v>38</v>
      </c>
      <c r="E24">
        <f t="shared" si="0"/>
        <v>-57.044986585137252</v>
      </c>
      <c r="F24">
        <f t="shared" si="1"/>
        <v>-57</v>
      </c>
      <c r="G24">
        <f t="shared" si="2"/>
        <v>-0.25234999999884167</v>
      </c>
      <c r="H24">
        <f t="shared" si="3"/>
        <v>-0.25234999999884167</v>
      </c>
      <c r="O24">
        <f t="shared" ca="1" si="4"/>
        <v>3.0159192946651744E-2</v>
      </c>
      <c r="Q24" s="2">
        <f t="shared" si="5"/>
        <v>12729.95</v>
      </c>
    </row>
    <row r="25" spans="1:18" x14ac:dyDescent="0.2">
      <c r="A25" s="51" t="s">
        <v>57</v>
      </c>
      <c r="B25" s="53" t="s">
        <v>97</v>
      </c>
      <c r="C25" s="52">
        <v>27810.35</v>
      </c>
      <c r="D25" s="52" t="s">
        <v>38</v>
      </c>
      <c r="E25">
        <f t="shared" si="0"/>
        <v>-46.010036634607737</v>
      </c>
      <c r="F25">
        <f t="shared" si="1"/>
        <v>-46</v>
      </c>
      <c r="G25">
        <f t="shared" si="2"/>
        <v>-5.6300000000192085E-2</v>
      </c>
      <c r="H25">
        <f t="shared" si="3"/>
        <v>-5.6300000000192085E-2</v>
      </c>
      <c r="O25">
        <f t="shared" ca="1" si="4"/>
        <v>3.0098466868802274E-2</v>
      </c>
      <c r="Q25" s="2">
        <f t="shared" si="5"/>
        <v>12791.849999999999</v>
      </c>
    </row>
    <row r="26" spans="1:18" x14ac:dyDescent="0.2">
      <c r="A26" s="51" t="s">
        <v>57</v>
      </c>
      <c r="B26" s="53" t="s">
        <v>97</v>
      </c>
      <c r="C26" s="52">
        <v>27827.31</v>
      </c>
      <c r="D26" s="52" t="s">
        <v>38</v>
      </c>
      <c r="E26">
        <f t="shared" si="0"/>
        <v>-42.986567310520208</v>
      </c>
      <c r="F26">
        <f t="shared" si="1"/>
        <v>-43</v>
      </c>
      <c r="G26">
        <f t="shared" si="2"/>
        <v>7.5350000002799788E-2</v>
      </c>
      <c r="H26">
        <f t="shared" si="3"/>
        <v>7.5350000002799788E-2</v>
      </c>
      <c r="O26">
        <f t="shared" ca="1" si="4"/>
        <v>3.0081905211206964E-2</v>
      </c>
      <c r="Q26" s="2">
        <f t="shared" si="5"/>
        <v>12808.810000000001</v>
      </c>
    </row>
    <row r="27" spans="1:18" x14ac:dyDescent="0.2">
      <c r="A27" s="51" t="s">
        <v>57</v>
      </c>
      <c r="B27" s="53" t="s">
        <v>97</v>
      </c>
      <c r="C27" s="52">
        <v>27844.27</v>
      </c>
      <c r="D27" s="52" t="s">
        <v>38</v>
      </c>
      <c r="E27">
        <f t="shared" si="0"/>
        <v>-39.963097986433333</v>
      </c>
      <c r="F27">
        <f t="shared" si="1"/>
        <v>-40</v>
      </c>
      <c r="G27">
        <f t="shared" si="2"/>
        <v>0.20700000000215368</v>
      </c>
      <c r="H27">
        <f t="shared" si="3"/>
        <v>0.20700000000215368</v>
      </c>
      <c r="O27">
        <f t="shared" ca="1" si="4"/>
        <v>3.0065343553611658E-2</v>
      </c>
      <c r="Q27" s="2">
        <f t="shared" si="5"/>
        <v>12825.77</v>
      </c>
    </row>
    <row r="28" spans="1:18" x14ac:dyDescent="0.2">
      <c r="A28" s="51" t="s">
        <v>57</v>
      </c>
      <c r="B28" s="53" t="s">
        <v>97</v>
      </c>
      <c r="C28" s="52">
        <v>28158.28</v>
      </c>
      <c r="D28" s="52" t="s">
        <v>38</v>
      </c>
      <c r="E28">
        <f t="shared" si="0"/>
        <v>16.015652158411243</v>
      </c>
      <c r="F28">
        <f t="shared" si="1"/>
        <v>16</v>
      </c>
      <c r="G28">
        <f t="shared" si="2"/>
        <v>8.7800000001152512E-2</v>
      </c>
      <c r="H28">
        <f t="shared" si="3"/>
        <v>8.7800000001152512E-2</v>
      </c>
      <c r="O28">
        <f t="shared" ca="1" si="4"/>
        <v>2.9756192611832547E-2</v>
      </c>
      <c r="Q28" s="2">
        <f t="shared" si="5"/>
        <v>13139.779999999999</v>
      </c>
    </row>
    <row r="29" spans="1:18" x14ac:dyDescent="0.2">
      <c r="A29" s="51" t="s">
        <v>57</v>
      </c>
      <c r="B29" s="53" t="s">
        <v>97</v>
      </c>
      <c r="C29" s="52">
        <v>28197.32</v>
      </c>
      <c r="D29" s="52" t="s">
        <v>38</v>
      </c>
      <c r="E29">
        <f t="shared" si="0"/>
        <v>22.975336262913622</v>
      </c>
      <c r="F29">
        <f t="shared" si="1"/>
        <v>23</v>
      </c>
      <c r="G29">
        <f t="shared" si="2"/>
        <v>-0.13834999999744468</v>
      </c>
      <c r="H29">
        <f t="shared" si="3"/>
        <v>-0.13834999999744468</v>
      </c>
      <c r="O29">
        <f t="shared" ca="1" si="4"/>
        <v>2.9717548744110159E-2</v>
      </c>
      <c r="Q29" s="2">
        <f t="shared" si="5"/>
        <v>13178.82</v>
      </c>
    </row>
    <row r="30" spans="1:18" x14ac:dyDescent="0.2">
      <c r="A30" s="51" t="s">
        <v>57</v>
      </c>
      <c r="B30" s="53" t="s">
        <v>97</v>
      </c>
      <c r="C30" s="52">
        <v>28214.47</v>
      </c>
      <c r="D30" s="52" t="s">
        <v>38</v>
      </c>
      <c r="E30">
        <f t="shared" si="0"/>
        <v>26.032677000419341</v>
      </c>
      <c r="F30">
        <f t="shared" si="1"/>
        <v>26</v>
      </c>
      <c r="G30">
        <f t="shared" si="2"/>
        <v>0.18330000000059954</v>
      </c>
      <c r="H30">
        <f t="shared" si="3"/>
        <v>0.18330000000059954</v>
      </c>
      <c r="O30">
        <f t="shared" ca="1" si="4"/>
        <v>2.9700987086514849E-2</v>
      </c>
      <c r="Q30" s="2">
        <f t="shared" si="5"/>
        <v>13195.970000000001</v>
      </c>
    </row>
    <row r="31" spans="1:18" x14ac:dyDescent="0.2">
      <c r="A31" s="51" t="s">
        <v>57</v>
      </c>
      <c r="B31" s="53" t="s">
        <v>97</v>
      </c>
      <c r="C31" s="52">
        <v>28248.240000000002</v>
      </c>
      <c r="D31" s="52" t="s">
        <v>38</v>
      </c>
      <c r="E31">
        <f t="shared" si="0"/>
        <v>32.052875059052617</v>
      </c>
      <c r="F31">
        <f t="shared" si="1"/>
        <v>32</v>
      </c>
      <c r="G31">
        <f t="shared" si="2"/>
        <v>0.29660000000149012</v>
      </c>
      <c r="H31">
        <f t="shared" si="3"/>
        <v>0.29660000000149012</v>
      </c>
      <c r="O31">
        <f t="shared" ca="1" si="4"/>
        <v>2.9667863771324233E-2</v>
      </c>
      <c r="Q31" s="2">
        <f t="shared" si="5"/>
        <v>13229.740000000002</v>
      </c>
    </row>
    <row r="32" spans="1:18" x14ac:dyDescent="0.2">
      <c r="A32" s="51" t="s">
        <v>57</v>
      </c>
      <c r="B32" s="53" t="s">
        <v>97</v>
      </c>
      <c r="C32" s="52">
        <v>28270.240000000002</v>
      </c>
      <c r="D32" s="52" t="s">
        <v>38</v>
      </c>
      <c r="E32">
        <f t="shared" si="0"/>
        <v>35.974828191712682</v>
      </c>
      <c r="F32">
        <f t="shared" si="1"/>
        <v>36</v>
      </c>
      <c r="G32">
        <f t="shared" si="2"/>
        <v>-0.1411999999982072</v>
      </c>
      <c r="H32">
        <f t="shared" si="3"/>
        <v>-0.1411999999982072</v>
      </c>
      <c r="O32">
        <f t="shared" ca="1" si="4"/>
        <v>2.9645781561197154E-2</v>
      </c>
      <c r="Q32" s="2">
        <f t="shared" si="5"/>
        <v>13251.740000000002</v>
      </c>
    </row>
    <row r="33" spans="1:17" x14ac:dyDescent="0.2">
      <c r="A33" s="51" t="s">
        <v>57</v>
      </c>
      <c r="B33" s="53" t="s">
        <v>97</v>
      </c>
      <c r="C33" s="52">
        <v>28287.25</v>
      </c>
      <c r="D33" s="52" t="s">
        <v>38</v>
      </c>
      <c r="E33">
        <f t="shared" si="0"/>
        <v>39.007211045646386</v>
      </c>
      <c r="F33">
        <f t="shared" si="1"/>
        <v>39</v>
      </c>
      <c r="G33">
        <f t="shared" si="2"/>
        <v>4.0450000000419095E-2</v>
      </c>
      <c r="H33">
        <f t="shared" si="3"/>
        <v>4.0450000000419095E-2</v>
      </c>
      <c r="O33">
        <f t="shared" ca="1" si="4"/>
        <v>2.9629219903601844E-2</v>
      </c>
      <c r="Q33" s="2">
        <f t="shared" si="5"/>
        <v>13268.75</v>
      </c>
    </row>
    <row r="34" spans="1:17" x14ac:dyDescent="0.2">
      <c r="A34" s="51" t="s">
        <v>57</v>
      </c>
      <c r="B34" s="53" t="s">
        <v>97</v>
      </c>
      <c r="C34" s="52">
        <v>28545.31</v>
      </c>
      <c r="D34" s="52" t="s">
        <v>38</v>
      </c>
      <c r="E34">
        <f t="shared" si="0"/>
        <v>85.011721291749183</v>
      </c>
      <c r="F34">
        <f t="shared" si="1"/>
        <v>85</v>
      </c>
      <c r="G34">
        <f t="shared" si="2"/>
        <v>6.5750000001571607E-2</v>
      </c>
      <c r="H34">
        <f t="shared" si="3"/>
        <v>6.5750000001571607E-2</v>
      </c>
      <c r="O34">
        <f t="shared" ca="1" si="4"/>
        <v>2.9375274487140432E-2</v>
      </c>
      <c r="Q34" s="2">
        <f t="shared" si="5"/>
        <v>13526.810000000001</v>
      </c>
    </row>
    <row r="35" spans="1:17" x14ac:dyDescent="0.2">
      <c r="A35" s="51" t="s">
        <v>57</v>
      </c>
      <c r="B35" s="53" t="s">
        <v>97</v>
      </c>
      <c r="C35" s="52">
        <v>28601.27</v>
      </c>
      <c r="D35" s="52" t="s">
        <v>38</v>
      </c>
      <c r="E35">
        <f t="shared" si="0"/>
        <v>94.987743896460714</v>
      </c>
      <c r="F35">
        <f t="shared" si="1"/>
        <v>95</v>
      </c>
      <c r="G35">
        <f t="shared" si="2"/>
        <v>-6.8749999998544808E-2</v>
      </c>
      <c r="H35">
        <f t="shared" si="3"/>
        <v>-6.8749999998544808E-2</v>
      </c>
      <c r="O35">
        <f t="shared" ca="1" si="4"/>
        <v>2.9320068961822734E-2</v>
      </c>
      <c r="Q35" s="2">
        <f t="shared" si="5"/>
        <v>13582.77</v>
      </c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0"/>
  <sheetViews>
    <sheetView workbookViewId="0">
      <selection activeCell="A11" sqref="A11:D24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4" si="0">P11</f>
        <v> CIEL 58.43 </v>
      </c>
      <c r="B11" s="3" t="str">
        <f t="shared" ref="B11:B24" si="1">IF(H11=INT(H11),"I","II")</f>
        <v>II</v>
      </c>
      <c r="C11" s="8">
        <f t="shared" ref="C11:C24" si="2">1*G11</f>
        <v>27479.52</v>
      </c>
      <c r="D11" s="10" t="str">
        <f t="shared" ref="D11:D24" si="3">VLOOKUP(F11,I$1:J$5,2,FALSE)</f>
        <v>vis</v>
      </c>
      <c r="E11" s="46">
        <f>VLOOKUP(C11,Active!C$21:E$973,3,FALSE)</f>
        <v>-104.98729821996781</v>
      </c>
      <c r="F11" s="3" t="s">
        <v>47</v>
      </c>
      <c r="G11" s="10" t="str">
        <f t="shared" ref="G11:G24" si="4">MID(I11,3,LEN(I11)-3)</f>
        <v>27479.52</v>
      </c>
      <c r="H11" s="8">
        <f t="shared" ref="H11:H24" si="5">1*K11</f>
        <v>-4566.5</v>
      </c>
      <c r="I11" s="47" t="s">
        <v>52</v>
      </c>
      <c r="J11" s="48" t="s">
        <v>53</v>
      </c>
      <c r="K11" s="47">
        <v>-4566.5</v>
      </c>
      <c r="L11" s="47" t="s">
        <v>54</v>
      </c>
      <c r="M11" s="48" t="s">
        <v>55</v>
      </c>
      <c r="N11" s="48"/>
      <c r="O11" s="49" t="s">
        <v>56</v>
      </c>
      <c r="P11" s="49" t="s">
        <v>57</v>
      </c>
    </row>
    <row r="12" spans="1:16" ht="12.75" customHeight="1" thickBot="1" x14ac:dyDescent="0.25">
      <c r="A12" s="8" t="str">
        <f t="shared" si="0"/>
        <v> CIEL 58.43 </v>
      </c>
      <c r="B12" s="3" t="str">
        <f t="shared" si="1"/>
        <v>II</v>
      </c>
      <c r="C12" s="8">
        <f t="shared" si="2"/>
        <v>27541.23</v>
      </c>
      <c r="D12" s="10" t="str">
        <f t="shared" si="3"/>
        <v>vis</v>
      </c>
      <c r="E12" s="46">
        <f>VLOOKUP(C12,Active!C$21:E$973,3,FALSE)</f>
        <v>-93.986219682856486</v>
      </c>
      <c r="F12" s="3" t="s">
        <v>47</v>
      </c>
      <c r="G12" s="10" t="str">
        <f t="shared" si="4"/>
        <v>27541.23</v>
      </c>
      <c r="H12" s="8">
        <f t="shared" si="5"/>
        <v>-4555.5</v>
      </c>
      <c r="I12" s="47" t="s">
        <v>58</v>
      </c>
      <c r="J12" s="48" t="s">
        <v>59</v>
      </c>
      <c r="K12" s="47">
        <v>-4555.5</v>
      </c>
      <c r="L12" s="47" t="s">
        <v>60</v>
      </c>
      <c r="M12" s="48" t="s">
        <v>55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CIEL 58.43 </v>
      </c>
      <c r="B13" s="3" t="str">
        <f t="shared" si="1"/>
        <v>II</v>
      </c>
      <c r="C13" s="8">
        <f t="shared" si="2"/>
        <v>27748.45</v>
      </c>
      <c r="D13" s="10" t="str">
        <f t="shared" si="3"/>
        <v>vis</v>
      </c>
      <c r="E13" s="46">
        <f>VLOOKUP(C13,Active!C$21:E$973,3,FALSE)</f>
        <v>-57.044986585137252</v>
      </c>
      <c r="F13" s="3" t="s">
        <v>47</v>
      </c>
      <c r="G13" s="10" t="str">
        <f t="shared" si="4"/>
        <v>27748.45</v>
      </c>
      <c r="H13" s="8">
        <f t="shared" si="5"/>
        <v>-4518.5</v>
      </c>
      <c r="I13" s="47" t="s">
        <v>61</v>
      </c>
      <c r="J13" s="48" t="s">
        <v>62</v>
      </c>
      <c r="K13" s="47">
        <v>-4518.5</v>
      </c>
      <c r="L13" s="47" t="s">
        <v>63</v>
      </c>
      <c r="M13" s="48" t="s">
        <v>55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CIEL 58.43 </v>
      </c>
      <c r="B14" s="3" t="str">
        <f t="shared" si="1"/>
        <v>II</v>
      </c>
      <c r="C14" s="8">
        <f t="shared" si="2"/>
        <v>27810.35</v>
      </c>
      <c r="D14" s="10" t="str">
        <f t="shared" si="3"/>
        <v>vis</v>
      </c>
      <c r="E14" s="46">
        <f>VLOOKUP(C14,Active!C$21:E$973,3,FALSE)</f>
        <v>-46.010036634607737</v>
      </c>
      <c r="F14" s="3" t="s">
        <v>47</v>
      </c>
      <c r="G14" s="10" t="str">
        <f t="shared" si="4"/>
        <v>27810.35</v>
      </c>
      <c r="H14" s="8">
        <f t="shared" si="5"/>
        <v>-4507.5</v>
      </c>
      <c r="I14" s="47" t="s">
        <v>64</v>
      </c>
      <c r="J14" s="48" t="s">
        <v>65</v>
      </c>
      <c r="K14" s="47">
        <v>-4507.5</v>
      </c>
      <c r="L14" s="47" t="s">
        <v>66</v>
      </c>
      <c r="M14" s="48" t="s">
        <v>55</v>
      </c>
      <c r="N14" s="48"/>
      <c r="O14" s="49" t="s">
        <v>56</v>
      </c>
      <c r="P14" s="49" t="s">
        <v>57</v>
      </c>
    </row>
    <row r="15" spans="1:16" ht="12.75" customHeight="1" thickBot="1" x14ac:dyDescent="0.25">
      <c r="A15" s="8" t="str">
        <f t="shared" si="0"/>
        <v> CIEL 58.43 </v>
      </c>
      <c r="B15" s="3" t="str">
        <f t="shared" si="1"/>
        <v>II</v>
      </c>
      <c r="C15" s="8">
        <f t="shared" si="2"/>
        <v>27827.31</v>
      </c>
      <c r="D15" s="10" t="str">
        <f t="shared" si="3"/>
        <v>vis</v>
      </c>
      <c r="E15" s="46">
        <f>VLOOKUP(C15,Active!C$21:E$973,3,FALSE)</f>
        <v>-42.986567310520208</v>
      </c>
      <c r="F15" s="3" t="s">
        <v>47</v>
      </c>
      <c r="G15" s="10" t="str">
        <f t="shared" si="4"/>
        <v>27827.31</v>
      </c>
      <c r="H15" s="8">
        <f t="shared" si="5"/>
        <v>-4504.5</v>
      </c>
      <c r="I15" s="47" t="s">
        <v>67</v>
      </c>
      <c r="J15" s="48" t="s">
        <v>68</v>
      </c>
      <c r="K15" s="47">
        <v>-4504.5</v>
      </c>
      <c r="L15" s="47" t="s">
        <v>69</v>
      </c>
      <c r="M15" s="48" t="s">
        <v>55</v>
      </c>
      <c r="N15" s="48"/>
      <c r="O15" s="49" t="s">
        <v>56</v>
      </c>
      <c r="P15" s="49" t="s">
        <v>57</v>
      </c>
    </row>
    <row r="16" spans="1:16" ht="12.75" customHeight="1" thickBot="1" x14ac:dyDescent="0.25">
      <c r="A16" s="8" t="str">
        <f t="shared" si="0"/>
        <v> CIEL 58.43 </v>
      </c>
      <c r="B16" s="3" t="str">
        <f t="shared" si="1"/>
        <v>II</v>
      </c>
      <c r="C16" s="8">
        <f t="shared" si="2"/>
        <v>27844.27</v>
      </c>
      <c r="D16" s="10" t="str">
        <f t="shared" si="3"/>
        <v>vis</v>
      </c>
      <c r="E16" s="46">
        <f>VLOOKUP(C16,Active!C$21:E$973,3,FALSE)</f>
        <v>-39.963097986433333</v>
      </c>
      <c r="F16" s="3" t="s">
        <v>47</v>
      </c>
      <c r="G16" s="10" t="str">
        <f t="shared" si="4"/>
        <v>27844.27</v>
      </c>
      <c r="H16" s="8">
        <f t="shared" si="5"/>
        <v>-4501.5</v>
      </c>
      <c r="I16" s="47" t="s">
        <v>70</v>
      </c>
      <c r="J16" s="48" t="s">
        <v>71</v>
      </c>
      <c r="K16" s="47">
        <v>-4501.5</v>
      </c>
      <c r="L16" s="47" t="s">
        <v>72</v>
      </c>
      <c r="M16" s="48" t="s">
        <v>55</v>
      </c>
      <c r="N16" s="48"/>
      <c r="O16" s="49" t="s">
        <v>56</v>
      </c>
      <c r="P16" s="49" t="s">
        <v>57</v>
      </c>
    </row>
    <row r="17" spans="1:16" ht="12.75" customHeight="1" thickBot="1" x14ac:dyDescent="0.25">
      <c r="A17" s="8" t="str">
        <f t="shared" si="0"/>
        <v> CIEL 58.43 </v>
      </c>
      <c r="B17" s="3" t="str">
        <f t="shared" si="1"/>
        <v>II</v>
      </c>
      <c r="C17" s="8">
        <f t="shared" si="2"/>
        <v>28158.28</v>
      </c>
      <c r="D17" s="10" t="str">
        <f t="shared" si="3"/>
        <v>vis</v>
      </c>
      <c r="E17" s="46">
        <f>VLOOKUP(C17,Active!C$21:E$973,3,FALSE)</f>
        <v>16.015652158411243</v>
      </c>
      <c r="F17" s="3" t="s">
        <v>47</v>
      </c>
      <c r="G17" s="10" t="str">
        <f t="shared" si="4"/>
        <v>28158.28</v>
      </c>
      <c r="H17" s="8">
        <f t="shared" si="5"/>
        <v>-4445.5</v>
      </c>
      <c r="I17" s="47" t="s">
        <v>73</v>
      </c>
      <c r="J17" s="48" t="s">
        <v>74</v>
      </c>
      <c r="K17" s="47">
        <v>-4445.5</v>
      </c>
      <c r="L17" s="47" t="s">
        <v>75</v>
      </c>
      <c r="M17" s="48" t="s">
        <v>55</v>
      </c>
      <c r="N17" s="48"/>
      <c r="O17" s="49" t="s">
        <v>56</v>
      </c>
      <c r="P17" s="49" t="s">
        <v>57</v>
      </c>
    </row>
    <row r="18" spans="1:16" ht="12.75" customHeight="1" thickBot="1" x14ac:dyDescent="0.25">
      <c r="A18" s="8" t="str">
        <f t="shared" si="0"/>
        <v> CIEL 58.43 </v>
      </c>
      <c r="B18" s="3" t="str">
        <f t="shared" si="1"/>
        <v>II</v>
      </c>
      <c r="C18" s="8">
        <f t="shared" si="2"/>
        <v>28197.32</v>
      </c>
      <c r="D18" s="10" t="str">
        <f t="shared" si="3"/>
        <v>vis</v>
      </c>
      <c r="E18" s="46">
        <f>VLOOKUP(C18,Active!C$21:E$973,3,FALSE)</f>
        <v>22.975336262913622</v>
      </c>
      <c r="F18" s="3" t="s">
        <v>47</v>
      </c>
      <c r="G18" s="10" t="str">
        <f t="shared" si="4"/>
        <v>28197.32</v>
      </c>
      <c r="H18" s="8">
        <f t="shared" si="5"/>
        <v>-4438.5</v>
      </c>
      <c r="I18" s="47" t="s">
        <v>76</v>
      </c>
      <c r="J18" s="48" t="s">
        <v>77</v>
      </c>
      <c r="K18" s="47">
        <v>-4438.5</v>
      </c>
      <c r="L18" s="47" t="s">
        <v>78</v>
      </c>
      <c r="M18" s="48" t="s">
        <v>55</v>
      </c>
      <c r="N18" s="48"/>
      <c r="O18" s="49" t="s">
        <v>56</v>
      </c>
      <c r="P18" s="49" t="s">
        <v>57</v>
      </c>
    </row>
    <row r="19" spans="1:16" ht="12.75" customHeight="1" thickBot="1" x14ac:dyDescent="0.25">
      <c r="A19" s="8" t="str">
        <f t="shared" si="0"/>
        <v> CIEL 58.43 </v>
      </c>
      <c r="B19" s="3" t="str">
        <f t="shared" si="1"/>
        <v>II</v>
      </c>
      <c r="C19" s="8">
        <f t="shared" si="2"/>
        <v>28214.47</v>
      </c>
      <c r="D19" s="10" t="str">
        <f t="shared" si="3"/>
        <v>vis</v>
      </c>
      <c r="E19" s="46">
        <f>VLOOKUP(C19,Active!C$21:E$973,3,FALSE)</f>
        <v>26.032677000419341</v>
      </c>
      <c r="F19" s="3" t="s">
        <v>47</v>
      </c>
      <c r="G19" s="10" t="str">
        <f t="shared" si="4"/>
        <v>28214.47</v>
      </c>
      <c r="H19" s="8">
        <f t="shared" si="5"/>
        <v>-4435.5</v>
      </c>
      <c r="I19" s="47" t="s">
        <v>79</v>
      </c>
      <c r="J19" s="48" t="s">
        <v>80</v>
      </c>
      <c r="K19" s="47">
        <v>-4435.5</v>
      </c>
      <c r="L19" s="47" t="s">
        <v>81</v>
      </c>
      <c r="M19" s="48" t="s">
        <v>55</v>
      </c>
      <c r="N19" s="48"/>
      <c r="O19" s="49" t="s">
        <v>56</v>
      </c>
      <c r="P19" s="49" t="s">
        <v>57</v>
      </c>
    </row>
    <row r="20" spans="1:16" ht="12.75" customHeight="1" thickBot="1" x14ac:dyDescent="0.25">
      <c r="A20" s="8" t="str">
        <f t="shared" si="0"/>
        <v> CIEL 58.43 </v>
      </c>
      <c r="B20" s="3" t="str">
        <f t="shared" si="1"/>
        <v>II</v>
      </c>
      <c r="C20" s="8">
        <f t="shared" si="2"/>
        <v>28248.240000000002</v>
      </c>
      <c r="D20" s="10" t="str">
        <f t="shared" si="3"/>
        <v>vis</v>
      </c>
      <c r="E20" s="46">
        <f>VLOOKUP(C20,Active!C$21:E$973,3,FALSE)</f>
        <v>32.052875059052617</v>
      </c>
      <c r="F20" s="3" t="s">
        <v>47</v>
      </c>
      <c r="G20" s="10" t="str">
        <f t="shared" si="4"/>
        <v>28248.24</v>
      </c>
      <c r="H20" s="8">
        <f t="shared" si="5"/>
        <v>-4429.5</v>
      </c>
      <c r="I20" s="47" t="s">
        <v>82</v>
      </c>
      <c r="J20" s="48" t="s">
        <v>83</v>
      </c>
      <c r="K20" s="47">
        <v>-4429.5</v>
      </c>
      <c r="L20" s="47" t="s">
        <v>84</v>
      </c>
      <c r="M20" s="48" t="s">
        <v>55</v>
      </c>
      <c r="N20" s="48"/>
      <c r="O20" s="49" t="s">
        <v>56</v>
      </c>
      <c r="P20" s="49" t="s">
        <v>57</v>
      </c>
    </row>
    <row r="21" spans="1:16" ht="12.75" customHeight="1" thickBot="1" x14ac:dyDescent="0.25">
      <c r="A21" s="8" t="str">
        <f t="shared" si="0"/>
        <v> CIEL 58.43 </v>
      </c>
      <c r="B21" s="3" t="str">
        <f t="shared" si="1"/>
        <v>II</v>
      </c>
      <c r="C21" s="8">
        <f t="shared" si="2"/>
        <v>28270.240000000002</v>
      </c>
      <c r="D21" s="10" t="str">
        <f t="shared" si="3"/>
        <v>vis</v>
      </c>
      <c r="E21" s="46">
        <f>VLOOKUP(C21,Active!C$21:E$973,3,FALSE)</f>
        <v>35.974828191712682</v>
      </c>
      <c r="F21" s="3" t="s">
        <v>47</v>
      </c>
      <c r="G21" s="10" t="str">
        <f t="shared" si="4"/>
        <v>28270.24</v>
      </c>
      <c r="H21" s="8">
        <f t="shared" si="5"/>
        <v>-4425.5</v>
      </c>
      <c r="I21" s="47" t="s">
        <v>85</v>
      </c>
      <c r="J21" s="48" t="s">
        <v>86</v>
      </c>
      <c r="K21" s="47">
        <v>-4425.5</v>
      </c>
      <c r="L21" s="47" t="s">
        <v>87</v>
      </c>
      <c r="M21" s="48" t="s">
        <v>55</v>
      </c>
      <c r="N21" s="48"/>
      <c r="O21" s="49" t="s">
        <v>56</v>
      </c>
      <c r="P21" s="49" t="s">
        <v>57</v>
      </c>
    </row>
    <row r="22" spans="1:16" ht="12.75" customHeight="1" thickBot="1" x14ac:dyDescent="0.25">
      <c r="A22" s="8" t="str">
        <f t="shared" si="0"/>
        <v> CIEL 58.43 </v>
      </c>
      <c r="B22" s="3" t="str">
        <f t="shared" si="1"/>
        <v>II</v>
      </c>
      <c r="C22" s="8">
        <f t="shared" si="2"/>
        <v>28287.25</v>
      </c>
      <c r="D22" s="10" t="str">
        <f t="shared" si="3"/>
        <v>vis</v>
      </c>
      <c r="E22" s="46">
        <f>VLOOKUP(C22,Active!C$21:E$973,3,FALSE)</f>
        <v>39.007211045646386</v>
      </c>
      <c r="F22" s="3" t="s">
        <v>47</v>
      </c>
      <c r="G22" s="10" t="str">
        <f t="shared" si="4"/>
        <v>28287.25</v>
      </c>
      <c r="H22" s="8">
        <f t="shared" si="5"/>
        <v>-4422.5</v>
      </c>
      <c r="I22" s="47" t="s">
        <v>88</v>
      </c>
      <c r="J22" s="48" t="s">
        <v>89</v>
      </c>
      <c r="K22" s="47">
        <v>-4422.5</v>
      </c>
      <c r="L22" s="47" t="s">
        <v>90</v>
      </c>
      <c r="M22" s="48" t="s">
        <v>55</v>
      </c>
      <c r="N22" s="48"/>
      <c r="O22" s="49" t="s">
        <v>56</v>
      </c>
      <c r="P22" s="49" t="s">
        <v>57</v>
      </c>
    </row>
    <row r="23" spans="1:16" ht="12.75" customHeight="1" thickBot="1" x14ac:dyDescent="0.25">
      <c r="A23" s="8" t="str">
        <f t="shared" si="0"/>
        <v> CIEL 58.43 </v>
      </c>
      <c r="B23" s="3" t="str">
        <f t="shared" si="1"/>
        <v>II</v>
      </c>
      <c r="C23" s="8">
        <f t="shared" si="2"/>
        <v>28545.31</v>
      </c>
      <c r="D23" s="10" t="str">
        <f t="shared" si="3"/>
        <v>vis</v>
      </c>
      <c r="E23" s="46">
        <f>VLOOKUP(C23,Active!C$21:E$973,3,FALSE)</f>
        <v>85.011721291749183</v>
      </c>
      <c r="F23" s="3" t="s">
        <v>47</v>
      </c>
      <c r="G23" s="10" t="str">
        <f t="shared" si="4"/>
        <v>28545.31</v>
      </c>
      <c r="H23" s="8">
        <f t="shared" si="5"/>
        <v>-4376.5</v>
      </c>
      <c r="I23" s="47" t="s">
        <v>91</v>
      </c>
      <c r="J23" s="48" t="s">
        <v>92</v>
      </c>
      <c r="K23" s="47">
        <v>-4376.5</v>
      </c>
      <c r="L23" s="47" t="s">
        <v>93</v>
      </c>
      <c r="M23" s="48" t="s">
        <v>55</v>
      </c>
      <c r="N23" s="48"/>
      <c r="O23" s="49" t="s">
        <v>56</v>
      </c>
      <c r="P23" s="49" t="s">
        <v>57</v>
      </c>
    </row>
    <row r="24" spans="1:16" ht="12.75" customHeight="1" thickBot="1" x14ac:dyDescent="0.25">
      <c r="A24" s="8" t="str">
        <f t="shared" si="0"/>
        <v> CIEL 58.43 </v>
      </c>
      <c r="B24" s="3" t="str">
        <f t="shared" si="1"/>
        <v>II</v>
      </c>
      <c r="C24" s="8">
        <f t="shared" si="2"/>
        <v>28601.27</v>
      </c>
      <c r="D24" s="10" t="str">
        <f t="shared" si="3"/>
        <v>vis</v>
      </c>
      <c r="E24" s="46">
        <f>VLOOKUP(C24,Active!C$21:E$973,3,FALSE)</f>
        <v>94.987743896460714</v>
      </c>
      <c r="F24" s="3" t="s">
        <v>47</v>
      </c>
      <c r="G24" s="10" t="str">
        <f t="shared" si="4"/>
        <v>28601.27</v>
      </c>
      <c r="H24" s="8">
        <f t="shared" si="5"/>
        <v>-4366.5</v>
      </c>
      <c r="I24" s="47" t="s">
        <v>94</v>
      </c>
      <c r="J24" s="48" t="s">
        <v>95</v>
      </c>
      <c r="K24" s="47">
        <v>-4366.5</v>
      </c>
      <c r="L24" s="47" t="s">
        <v>96</v>
      </c>
      <c r="M24" s="48" t="s">
        <v>55</v>
      </c>
      <c r="N24" s="48"/>
      <c r="O24" s="49" t="s">
        <v>56</v>
      </c>
      <c r="P24" s="49" t="s">
        <v>57</v>
      </c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2024-01-26T05:24:09Z</dcterms:modified>
</cp:coreProperties>
</file>