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4A08290-20E4-4820-A040-CD8BCBFA71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K38" i="2" l="1"/>
  <c r="Q38" i="2"/>
  <c r="Q37" i="2"/>
  <c r="E29" i="2"/>
  <c r="F29" i="2"/>
  <c r="G29" i="2"/>
  <c r="I29" i="2"/>
  <c r="D9" i="2"/>
  <c r="C9" i="2"/>
  <c r="E36" i="2"/>
  <c r="F36" i="2"/>
  <c r="G36" i="2"/>
  <c r="Q22" i="2"/>
  <c r="Q26" i="2"/>
  <c r="Q27" i="2"/>
  <c r="Q28" i="2"/>
  <c r="Q29" i="2"/>
  <c r="Q35" i="2"/>
  <c r="G19" i="3"/>
  <c r="C19" i="3"/>
  <c r="E19" i="3"/>
  <c r="G26" i="3"/>
  <c r="C26" i="3"/>
  <c r="E26" i="3"/>
  <c r="G18" i="3"/>
  <c r="C18" i="3"/>
  <c r="E18" i="3"/>
  <c r="G17" i="3"/>
  <c r="C17" i="3"/>
  <c r="E17" i="3"/>
  <c r="G16" i="3"/>
  <c r="C16" i="3"/>
  <c r="G15" i="3"/>
  <c r="C15" i="3"/>
  <c r="G25" i="3"/>
  <c r="C25" i="3"/>
  <c r="E25" i="3"/>
  <c r="G24" i="3"/>
  <c r="C24" i="3"/>
  <c r="E24" i="3"/>
  <c r="G23" i="3"/>
  <c r="C23" i="3"/>
  <c r="E23" i="3"/>
  <c r="G22" i="3"/>
  <c r="C22" i="3"/>
  <c r="G14" i="3"/>
  <c r="C14" i="3"/>
  <c r="E14" i="3"/>
  <c r="G13" i="3"/>
  <c r="C13" i="3"/>
  <c r="E13" i="3"/>
  <c r="G12" i="3"/>
  <c r="C12" i="3"/>
  <c r="G21" i="3"/>
  <c r="C21" i="3"/>
  <c r="G11" i="3"/>
  <c r="C11" i="3"/>
  <c r="E11" i="3"/>
  <c r="G20" i="3"/>
  <c r="C20" i="3"/>
  <c r="E20" i="3"/>
  <c r="H19" i="3"/>
  <c r="D19" i="3"/>
  <c r="B19" i="3"/>
  <c r="A19" i="3"/>
  <c r="H26" i="3"/>
  <c r="B26" i="3"/>
  <c r="D26" i="3"/>
  <c r="A26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14" i="3"/>
  <c r="D14" i="3"/>
  <c r="B14" i="3"/>
  <c r="A14" i="3"/>
  <c r="H13" i="3"/>
  <c r="B13" i="3"/>
  <c r="D13" i="3"/>
  <c r="A13" i="3"/>
  <c r="H12" i="3"/>
  <c r="D12" i="3"/>
  <c r="B12" i="3"/>
  <c r="A12" i="3"/>
  <c r="H21" i="3"/>
  <c r="B21" i="3"/>
  <c r="D21" i="3"/>
  <c r="A21" i="3"/>
  <c r="H11" i="3"/>
  <c r="D11" i="3"/>
  <c r="B11" i="3"/>
  <c r="A11" i="3"/>
  <c r="H20" i="3"/>
  <c r="B20" i="3"/>
  <c r="D20" i="3"/>
  <c r="A20" i="3"/>
  <c r="F16" i="2"/>
  <c r="C17" i="2"/>
  <c r="Q34" i="2"/>
  <c r="Q36" i="2"/>
  <c r="C7" i="2"/>
  <c r="E38" i="2"/>
  <c r="F38" i="2"/>
  <c r="E27" i="2"/>
  <c r="F27" i="2"/>
  <c r="G27" i="2"/>
  <c r="I27" i="2"/>
  <c r="Q21" i="2"/>
  <c r="Q23" i="2"/>
  <c r="Q24" i="2"/>
  <c r="Q25" i="2"/>
  <c r="Q30" i="2"/>
  <c r="Q31" i="2"/>
  <c r="Q32" i="2"/>
  <c r="Q33" i="2"/>
  <c r="Q28" i="1"/>
  <c r="E22" i="1"/>
  <c r="F22" i="1"/>
  <c r="G22" i="1"/>
  <c r="I22" i="1"/>
  <c r="Q22" i="1"/>
  <c r="Q23" i="1"/>
  <c r="Q24" i="1"/>
  <c r="Q25" i="1"/>
  <c r="Q26" i="1"/>
  <c r="Q27" i="1"/>
  <c r="C7" i="1"/>
  <c r="E27" i="1"/>
  <c r="F27" i="1"/>
  <c r="G27" i="1"/>
  <c r="I27" i="1"/>
  <c r="C18" i="1"/>
  <c r="Q21" i="1"/>
  <c r="E21" i="1"/>
  <c r="F21" i="1"/>
  <c r="G21" i="1"/>
  <c r="E24" i="1"/>
  <c r="F24" i="1"/>
  <c r="G24" i="1"/>
  <c r="I24" i="1"/>
  <c r="E21" i="2"/>
  <c r="F21" i="2"/>
  <c r="G21" i="2"/>
  <c r="E32" i="2"/>
  <c r="F32" i="2"/>
  <c r="G32" i="2"/>
  <c r="I32" i="2"/>
  <c r="E24" i="2"/>
  <c r="F24" i="2"/>
  <c r="G24" i="2"/>
  <c r="I24" i="2"/>
  <c r="E35" i="2"/>
  <c r="F35" i="2"/>
  <c r="G35" i="2"/>
  <c r="E26" i="2"/>
  <c r="E22" i="3"/>
  <c r="F26" i="2"/>
  <c r="G26" i="2"/>
  <c r="I26" i="2"/>
  <c r="E22" i="2"/>
  <c r="F22" i="2"/>
  <c r="G22" i="2"/>
  <c r="I22" i="2"/>
  <c r="E26" i="1"/>
  <c r="F26" i="1"/>
  <c r="G26" i="1"/>
  <c r="I26" i="1"/>
  <c r="E28" i="1"/>
  <c r="F28" i="1"/>
  <c r="G28" i="1"/>
  <c r="J28" i="1"/>
  <c r="E34" i="2"/>
  <c r="F34" i="2"/>
  <c r="G34" i="2"/>
  <c r="K33" i="2"/>
  <c r="E30" i="2"/>
  <c r="F30" i="2"/>
  <c r="G30" i="2"/>
  <c r="I30" i="2"/>
  <c r="E28" i="2"/>
  <c r="F28" i="2"/>
  <c r="G28" i="2"/>
  <c r="I28" i="2"/>
  <c r="E25" i="1"/>
  <c r="F25" i="1"/>
  <c r="G25" i="1"/>
  <c r="I25" i="1"/>
  <c r="E33" i="2"/>
  <c r="F33" i="2"/>
  <c r="G33" i="2"/>
  <c r="K32" i="2"/>
  <c r="E25" i="2"/>
  <c r="F25" i="2"/>
  <c r="G25" i="2"/>
  <c r="I25" i="2"/>
  <c r="E15" i="3"/>
  <c r="E21" i="3"/>
  <c r="E12" i="3"/>
  <c r="H21" i="1"/>
  <c r="J35" i="2"/>
  <c r="K34" i="2"/>
  <c r="E23" i="1"/>
  <c r="F23" i="1"/>
  <c r="G23" i="1"/>
  <c r="I23" i="1"/>
  <c r="E31" i="2"/>
  <c r="F31" i="2"/>
  <c r="G31" i="2"/>
  <c r="I31" i="2"/>
  <c r="E37" i="2"/>
  <c r="F37" i="2"/>
  <c r="G37" i="2"/>
  <c r="G38" i="2"/>
  <c r="K37" i="2"/>
  <c r="E23" i="2"/>
  <c r="F23" i="2"/>
  <c r="G23" i="2"/>
  <c r="I23" i="2"/>
  <c r="E16" i="3"/>
  <c r="C12" i="1"/>
  <c r="C16" i="1"/>
  <c r="D18" i="1"/>
  <c r="C11" i="1"/>
  <c r="O27" i="1"/>
  <c r="R27" i="1"/>
  <c r="O28" i="1"/>
  <c r="R28" i="1"/>
  <c r="O25" i="1"/>
  <c r="R25" i="1"/>
  <c r="O24" i="1"/>
  <c r="R24" i="1"/>
  <c r="O23" i="1"/>
  <c r="R23" i="1"/>
  <c r="O21" i="1"/>
  <c r="R21" i="1"/>
  <c r="O26" i="1"/>
  <c r="R26" i="1"/>
  <c r="O22" i="1"/>
  <c r="R22" i="1"/>
  <c r="R16" i="1"/>
  <c r="R17" i="1"/>
  <c r="C12" i="2"/>
  <c r="C11" i="2"/>
  <c r="O28" i="2" l="1"/>
  <c r="S28" i="2" s="1"/>
  <c r="O25" i="2"/>
  <c r="S25" i="2" s="1"/>
  <c r="O30" i="2"/>
  <c r="S30" i="2" s="1"/>
  <c r="C15" i="2"/>
  <c r="O34" i="2"/>
  <c r="S34" i="2" s="1"/>
  <c r="O24" i="2"/>
  <c r="S24" i="2" s="1"/>
  <c r="O26" i="2"/>
  <c r="S26" i="2" s="1"/>
  <c r="O37" i="2"/>
  <c r="S37" i="2" s="1"/>
  <c r="O27" i="2"/>
  <c r="S27" i="2" s="1"/>
  <c r="O31" i="2"/>
  <c r="S31" i="2" s="1"/>
  <c r="O22" i="2"/>
  <c r="S22" i="2" s="1"/>
  <c r="O21" i="2"/>
  <c r="O35" i="2"/>
  <c r="S35" i="2" s="1"/>
  <c r="O29" i="2"/>
  <c r="S29" i="2" s="1"/>
  <c r="O23" i="2"/>
  <c r="S23" i="2" s="1"/>
  <c r="O36" i="2"/>
  <c r="S36" i="2" s="1"/>
  <c r="O33" i="2"/>
  <c r="S33" i="2" s="1"/>
  <c r="O32" i="2"/>
  <c r="S32" i="2" s="1"/>
  <c r="O38" i="2"/>
  <c r="C16" i="2"/>
  <c r="D18" i="2" s="1"/>
  <c r="F17" i="2"/>
  <c r="C18" i="2" l="1"/>
  <c r="F18" i="2"/>
  <c r="F19" i="2" s="1"/>
  <c r="S16" i="2"/>
  <c r="S17" i="2" s="1"/>
</calcChain>
</file>

<file path=xl/sharedStrings.xml><?xml version="1.0" encoding="utf-8"?>
<sst xmlns="http://schemas.openxmlformats.org/spreadsheetml/2006/main" count="282" uniqueCount="136">
  <si>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</si>
  <si>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</si>
  <si>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</si>
  <si>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</si>
  <si>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</si>
  <si>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</si>
  <si>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</si>
  <si>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</si>
  <si>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</si>
  <si>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</si>
  <si>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</si>
  <si>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</si>
  <si>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</si>
  <si>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</si>
  <si>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</si>
  <si>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</si>
  <si>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</si>
  <si>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</si>
  <si>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</si>
  <si>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</si>
  <si>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</si>
  <si>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</si>
  <si>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</si>
  <si>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</si>
  <si>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</si>
  <si>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</si>
  <si>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</si>
  <si>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</si>
  <si>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</si>
  <si>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</si>
  <si>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AP CMi</t>
  </si>
  <si>
    <t>Paschke A</t>
  </si>
  <si>
    <t>BBSAG Bull.88</t>
  </si>
  <si>
    <t>B</t>
  </si>
  <si>
    <t>BBSAG Bull.92</t>
  </si>
  <si>
    <t>BBSAG Bull.97</t>
  </si>
  <si>
    <t>BBSAG Bull.101</t>
  </si>
  <si>
    <t>BBSAG Bull.103</t>
  </si>
  <si>
    <t>IBVS 4888</t>
  </si>
  <si>
    <t>IBVS</t>
  </si>
  <si>
    <t>BBSAG</t>
  </si>
  <si>
    <t>Sum diff^2</t>
  </si>
  <si>
    <t>RMS dev'n</t>
  </si>
  <si>
    <t>EA</t>
  </si>
  <si>
    <t># of data points:</t>
  </si>
  <si>
    <t>AP CMi / gsc 4817-1238</t>
  </si>
  <si>
    <t>IBVS 5653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</si>
  <si>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</si>
  <si>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</si>
  <si>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</si>
  <si>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</si>
  <si>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</si>
  <si>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</si>
  <si>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</si>
  <si>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</si>
  <si>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</si>
  <si>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</si>
  <si>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</si>
  <si>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</si>
  <si>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</si>
  <si>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</si>
  <si>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</si>
  <si>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</si>
  <si>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</si>
  <si>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</si>
  <si>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</si>
  <si>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</si>
  <si>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2426692.498 </t>
  </si>
  <si>
    <t> 16.12.1931 23:57 </t>
  </si>
  <si>
    <t> -0.173 </t>
  </si>
  <si>
    <t>P </t>
  </si>
  <si>
    <t> O.Morgenroth </t>
  </si>
  <si>
    <t> AN 250.79 </t>
  </si>
  <si>
    <t>2426770.357 </t>
  </si>
  <si>
    <t> 03.03.1932 20:34 </t>
  </si>
  <si>
    <t> -0.175 </t>
  </si>
  <si>
    <t>2427460.32 </t>
  </si>
  <si>
    <t> 22.01.1934 19:40 </t>
  </si>
  <si>
    <t> -0.15 </t>
  </si>
  <si>
    <t> Piotrowski </t>
  </si>
  <si>
    <t> BBS 95 </t>
  </si>
  <si>
    <t>2447159.42 </t>
  </si>
  <si>
    <t> 29.12.1987 22:04 </t>
  </si>
  <si>
    <t> -0.00 </t>
  </si>
  <si>
    <t>V </t>
  </si>
  <si>
    <t> A.Paschke </t>
  </si>
  <si>
    <t> BBS 88 </t>
  </si>
  <si>
    <t>2447213.49 </t>
  </si>
  <si>
    <t> 21.02.1988 23:45 </t>
  </si>
  <si>
    <t>2447596.30 </t>
  </si>
  <si>
    <t> 10.03.1989 19:12 </t>
  </si>
  <si>
    <t> -0.01 </t>
  </si>
  <si>
    <t> BBS 92 </t>
  </si>
  <si>
    <t>2447825.55 </t>
  </si>
  <si>
    <t> 26.10.1989 01:12 </t>
  </si>
  <si>
    <t> -0.02 </t>
  </si>
  <si>
    <t> J.Borovicka </t>
  </si>
  <si>
    <t>2447918.55 </t>
  </si>
  <si>
    <t> 27.01.1990 01:12 </t>
  </si>
  <si>
    <t>2447968.302 </t>
  </si>
  <si>
    <t> 17.03.1990 19:14 </t>
  </si>
  <si>
    <t> -0.014 </t>
  </si>
  <si>
    <t>2447970.466 </t>
  </si>
  <si>
    <t> 19.03.1990 23:11 </t>
  </si>
  <si>
    <t> -0.012 </t>
  </si>
  <si>
    <t>2448314.37 </t>
  </si>
  <si>
    <t> 26.02.1991 20:52 </t>
  </si>
  <si>
    <t> 0.00 </t>
  </si>
  <si>
    <t>E </t>
  </si>
  <si>
    <t>?</t>
  </si>
  <si>
    <t> BBS 97 </t>
  </si>
  <si>
    <t>2448673.399 </t>
  </si>
  <si>
    <t> 20.02.1992 21:34 </t>
  </si>
  <si>
    <t> 0.005 </t>
  </si>
  <si>
    <t> BBS 101 </t>
  </si>
  <si>
    <t>2449019.440 </t>
  </si>
  <si>
    <t> 31.01.1993 22:33 </t>
  </si>
  <si>
    <t> -0.005 </t>
  </si>
  <si>
    <t> BBS 103 </t>
  </si>
  <si>
    <t>2450864.3328 </t>
  </si>
  <si>
    <t> 19.02.1998 19:59 </t>
  </si>
  <si>
    <t> 0.0034 </t>
  </si>
  <si>
    <t> J.Safar </t>
  </si>
  <si>
    <t>IBVS 4888 </t>
  </si>
  <si>
    <t>2450864.3495 </t>
  </si>
  <si>
    <t> 19.02.1998 20:23 </t>
  </si>
  <si>
    <t> 0.0201 </t>
  </si>
  <si>
    <t> M.Netolicky </t>
  </si>
  <si>
    <t> BRNO 32 </t>
  </si>
  <si>
    <t>2453351.561 </t>
  </si>
  <si>
    <t> 12.12.2004 01:27 </t>
  </si>
  <si>
    <t> -0.010 </t>
  </si>
  <si>
    <t> A. Paschke </t>
  </si>
  <si>
    <t>IBVS 5653 </t>
  </si>
  <si>
    <t>JAVSO..45..121</t>
  </si>
  <si>
    <t>JAVSO..46..184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</si>
</sst>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CMi - O-C Diagr.</a:t>
            </a:r>
          </a:p>
        </c:rich>
      </c:tx>
      <c:layout>
        <c:manualLayout>
          <c:xMode val="edge"/>
          <c:yMode val="edge"/>
          <c:x val="0.342975640441638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23926380368099"/>
          <c:w val="0.762397463356170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8-4F9D-838A-78D43C7289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1.8635000000358559E-2</c:v>
                </c:pt>
                <c:pt idx="2">
                  <c:v>1.7455000001064036E-2</c:v>
                </c:pt>
                <c:pt idx="3">
                  <c:v>1.6580000003159512E-2</c:v>
                </c:pt>
                <c:pt idx="4">
                  <c:v>4.7850000046310015E-3</c:v>
                </c:pt>
                <c:pt idx="5">
                  <c:v>-5.7249999954365194E-3</c:v>
                </c:pt>
                <c:pt idx="6">
                  <c:v>-7.6299999927869067E-3</c:v>
                </c:pt>
                <c:pt idx="7">
                  <c:v>-8.3499999163905159E-4</c:v>
                </c:pt>
                <c:pt idx="8">
                  <c:v>3.3000000257743523E-4</c:v>
                </c:pt>
                <c:pt idx="9">
                  <c:v>1.3565000008384231E-2</c:v>
                </c:pt>
                <c:pt idx="10">
                  <c:v>1.1955000001762528E-2</c:v>
                </c:pt>
                <c:pt idx="11">
                  <c:v>-6.449999928008765E-4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8-4F9D-838A-78D43C7289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4">
                  <c:v>1.0599999994155951E-2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8-4F9D-838A-78D43C7289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1">
                  <c:v>-6.449999928008765E-4</c:v>
                </c:pt>
                <c:pt idx="12">
                  <c:v>-6.100000005972106E-3</c:v>
                </c:pt>
                <c:pt idx="13">
                  <c:v>1.0599999994155951E-2</c:v>
                </c:pt>
                <c:pt idx="16">
                  <c:v>-4.7769999990123324E-2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8-4F9D-838A-78D43C7289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78-4F9D-838A-78D43C7289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78-4F9D-838A-78D43C7289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78-4F9D-838A-78D43C7289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2.3987132868976732E-2</c:v>
                </c:pt>
                <c:pt idx="1">
                  <c:v>2.3093208623619781E-2</c:v>
                </c:pt>
                <c:pt idx="2">
                  <c:v>-2.4298698300201059E-3</c:v>
                </c:pt>
                <c:pt idx="3">
                  <c:v>-2.4999265890606193E-3</c:v>
                </c:pt>
                <c:pt idx="4">
                  <c:v>-2.9959284430674561E-3</c:v>
                </c:pt>
                <c:pt idx="5">
                  <c:v>-3.2929691013992325E-3</c:v>
                </c:pt>
                <c:pt idx="6">
                  <c:v>-3.4134667269489147E-3</c:v>
                </c:pt>
                <c:pt idx="7">
                  <c:v>-3.4779189452661882E-3</c:v>
                </c:pt>
                <c:pt idx="8">
                  <c:v>-3.4807212156278099E-3</c:v>
                </c:pt>
                <c:pt idx="9">
                  <c:v>-3.9262822031254745E-3</c:v>
                </c:pt>
                <c:pt idx="10">
                  <c:v>-4.3914590831544836E-3</c:v>
                </c:pt>
                <c:pt idx="11">
                  <c:v>-4.8398223410137699E-3</c:v>
                </c:pt>
                <c:pt idx="12">
                  <c:v>-4.8398223410137699E-3</c:v>
                </c:pt>
                <c:pt idx="13">
                  <c:v>-7.2301589594760927E-3</c:v>
                </c:pt>
                <c:pt idx="14">
                  <c:v>-7.2301589594760927E-3</c:v>
                </c:pt>
                <c:pt idx="15">
                  <c:v>-1.0452769875339711E-2</c:v>
                </c:pt>
                <c:pt idx="16">
                  <c:v>-1.5721038155186329E-2</c:v>
                </c:pt>
                <c:pt idx="17">
                  <c:v>-1.6203028657385064E-2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78-4F9D-838A-78D43C728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256936"/>
        <c:axId val="1"/>
      </c:scatterChart>
      <c:valAx>
        <c:axId val="554256936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4256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03327476627404"/>
          <c:y val="0.92024539877300615"/>
          <c:w val="0.8636372312965011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CMi - O-C Diagr.</a:t>
            </a:r>
          </a:p>
        </c:rich>
      </c:tx>
      <c:layout>
        <c:manualLayout>
          <c:xMode val="edge"/>
          <c:yMode val="edge"/>
          <c:x val="0.3443298969072164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678942920199375"/>
          <c:w val="0.7628865979381442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3-4C53-84BA-AF657A1E5A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1.8635000000358559E-2</c:v>
                </c:pt>
                <c:pt idx="2">
                  <c:v>1.7455000001064036E-2</c:v>
                </c:pt>
                <c:pt idx="3">
                  <c:v>1.6580000003159512E-2</c:v>
                </c:pt>
                <c:pt idx="4">
                  <c:v>4.7850000046310015E-3</c:v>
                </c:pt>
                <c:pt idx="5">
                  <c:v>-5.7249999954365194E-3</c:v>
                </c:pt>
                <c:pt idx="6">
                  <c:v>-7.6299999927869067E-3</c:v>
                </c:pt>
                <c:pt idx="7">
                  <c:v>-8.3499999163905159E-4</c:v>
                </c:pt>
                <c:pt idx="8">
                  <c:v>3.3000000257743523E-4</c:v>
                </c:pt>
                <c:pt idx="9">
                  <c:v>1.3565000008384231E-2</c:v>
                </c:pt>
                <c:pt idx="10">
                  <c:v>1.1955000001762528E-2</c:v>
                </c:pt>
                <c:pt idx="11">
                  <c:v>-6.449999928008765E-4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3-4C53-84BA-AF657A1E5A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4">
                  <c:v>1.0599999994155951E-2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73-4C53-84BA-AF657A1E5A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1">
                  <c:v>-6.449999928008765E-4</c:v>
                </c:pt>
                <c:pt idx="12">
                  <c:v>-6.100000005972106E-3</c:v>
                </c:pt>
                <c:pt idx="13">
                  <c:v>1.0599999994155951E-2</c:v>
                </c:pt>
                <c:pt idx="16">
                  <c:v>-4.7769999990123324E-2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73-4C53-84BA-AF657A1E5A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73-4C53-84BA-AF657A1E5A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73-4C53-84BA-AF657A1E5A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7.0000000000000001E-3</c:v>
                  </c:pt>
                  <c:pt idx="11">
                    <c:v>7.0000000000000001E-3</c:v>
                  </c:pt>
                  <c:pt idx="12">
                    <c:v>7.0000000000000001E-3</c:v>
                  </c:pt>
                  <c:pt idx="13">
                    <c:v>2.0999999999999999E-3</c:v>
                  </c:pt>
                  <c:pt idx="14">
                    <c:v>0</c:v>
                  </c:pt>
                  <c:pt idx="15">
                    <c:v>4.0000000000000001E-3</c:v>
                  </c:pt>
                  <c:pt idx="16">
                    <c:v>1E-4</c:v>
                  </c:pt>
                  <c:pt idx="1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73-4C53-84BA-AF657A1E5A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319</c:v>
                </c:pt>
                <c:pt idx="2">
                  <c:v>9427</c:v>
                </c:pt>
                <c:pt idx="3">
                  <c:v>9452</c:v>
                </c:pt>
                <c:pt idx="4">
                  <c:v>9629</c:v>
                </c:pt>
                <c:pt idx="5">
                  <c:v>9735</c:v>
                </c:pt>
                <c:pt idx="6">
                  <c:v>9778</c:v>
                </c:pt>
                <c:pt idx="7">
                  <c:v>9801</c:v>
                </c:pt>
                <c:pt idx="8">
                  <c:v>9802</c:v>
                </c:pt>
                <c:pt idx="9">
                  <c:v>9961</c:v>
                </c:pt>
                <c:pt idx="10">
                  <c:v>10127</c:v>
                </c:pt>
                <c:pt idx="11">
                  <c:v>10287</c:v>
                </c:pt>
                <c:pt idx="12">
                  <c:v>10287</c:v>
                </c:pt>
                <c:pt idx="13">
                  <c:v>11140</c:v>
                </c:pt>
                <c:pt idx="14">
                  <c:v>11140</c:v>
                </c:pt>
                <c:pt idx="15">
                  <c:v>12290</c:v>
                </c:pt>
                <c:pt idx="16">
                  <c:v>14170</c:v>
                </c:pt>
                <c:pt idx="17">
                  <c:v>14342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2.3987132868976732E-2</c:v>
                </c:pt>
                <c:pt idx="1">
                  <c:v>2.3093208623619781E-2</c:v>
                </c:pt>
                <c:pt idx="2">
                  <c:v>-2.4298698300201059E-3</c:v>
                </c:pt>
                <c:pt idx="3">
                  <c:v>-2.4999265890606193E-3</c:v>
                </c:pt>
                <c:pt idx="4">
                  <c:v>-2.9959284430674561E-3</c:v>
                </c:pt>
                <c:pt idx="5">
                  <c:v>-3.2929691013992325E-3</c:v>
                </c:pt>
                <c:pt idx="6">
                  <c:v>-3.4134667269489147E-3</c:v>
                </c:pt>
                <c:pt idx="7">
                  <c:v>-3.4779189452661882E-3</c:v>
                </c:pt>
                <c:pt idx="8">
                  <c:v>-3.4807212156278099E-3</c:v>
                </c:pt>
                <c:pt idx="9">
                  <c:v>-3.9262822031254745E-3</c:v>
                </c:pt>
                <c:pt idx="10">
                  <c:v>-4.3914590831544836E-3</c:v>
                </c:pt>
                <c:pt idx="11">
                  <c:v>-4.8398223410137699E-3</c:v>
                </c:pt>
                <c:pt idx="12">
                  <c:v>-4.8398223410137699E-3</c:v>
                </c:pt>
                <c:pt idx="13">
                  <c:v>-7.2301589594760927E-3</c:v>
                </c:pt>
                <c:pt idx="14">
                  <c:v>-7.2301589594760927E-3</c:v>
                </c:pt>
                <c:pt idx="15">
                  <c:v>-1.0452769875339711E-2</c:v>
                </c:pt>
                <c:pt idx="16">
                  <c:v>-1.5721038155186329E-2</c:v>
                </c:pt>
                <c:pt idx="17">
                  <c:v>-1.6203028657385064E-2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73-4C53-84BA-AF657A1E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121336"/>
        <c:axId val="1"/>
      </c:scatterChart>
      <c:valAx>
        <c:axId val="4831213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121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83505154639174"/>
          <c:y val="0.9204921861831491"/>
          <c:w val="0.8618556701030928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CMi - O-C Diagr.</a:t>
            </a:r>
          </a:p>
        </c:rich>
      </c:tx>
      <c:layout>
        <c:manualLayout>
          <c:xMode val="edge"/>
          <c:yMode val="edge"/>
          <c:x val="0.34297564044163897"/>
          <c:y val="3.4055774278215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860681114551083"/>
          <c:w val="0.7500007566349317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08-46E9-BED6-10A58D3364D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1.7455000001064036E-2</c:v>
                </c:pt>
                <c:pt idx="2">
                  <c:v>1.6580000003159512E-2</c:v>
                </c:pt>
                <c:pt idx="3">
                  <c:v>4.7850000046310015E-3</c:v>
                </c:pt>
                <c:pt idx="4">
                  <c:v>1.3565000008384231E-2</c:v>
                </c:pt>
                <c:pt idx="5">
                  <c:v>1.1955000001762528E-2</c:v>
                </c:pt>
                <c:pt idx="6">
                  <c:v>-6.449999928008765E-4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08-46E9-BED6-10A58D3364D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7">
                  <c:v>-6.449999928008765E-4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08-46E9-BED6-10A58D3364D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08-46E9-BED6-10A58D3364D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08-46E9-BED6-10A58D3364D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08-46E9-BED6-10A58D3364D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0.01</c:v>
                  </c:pt>
                  <c:pt idx="5">
                    <c:v>7.0000000000000001E-3</c:v>
                  </c:pt>
                  <c:pt idx="6">
                    <c:v>7.0000000000000001E-3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08-46E9-BED6-10A58D3364D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9427</c:v>
                </c:pt>
                <c:pt idx="2">
                  <c:v>9452</c:v>
                </c:pt>
                <c:pt idx="3">
                  <c:v>9629</c:v>
                </c:pt>
                <c:pt idx="4">
                  <c:v>9961</c:v>
                </c:pt>
                <c:pt idx="5">
                  <c:v>10127</c:v>
                </c:pt>
                <c:pt idx="6">
                  <c:v>10287</c:v>
                </c:pt>
                <c:pt idx="7">
                  <c:v>10287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1.3570319750425691E-3</c:v>
                </c:pt>
                <c:pt idx="1">
                  <c:v>8.4703820818091899E-3</c:v>
                </c:pt>
                <c:pt idx="2">
                  <c:v>8.4892463814452528E-3</c:v>
                </c:pt>
                <c:pt idx="3">
                  <c:v>8.6228056228685804E-3</c:v>
                </c:pt>
                <c:pt idx="4">
                  <c:v>8.8733235220354954E-3</c:v>
                </c:pt>
                <c:pt idx="5">
                  <c:v>8.9985824716189537E-3</c:v>
                </c:pt>
                <c:pt idx="6">
                  <c:v>9.1193139892897564E-3</c:v>
                </c:pt>
                <c:pt idx="7">
                  <c:v>9.1193139892897564E-3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08-46E9-BED6-10A58D33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441384"/>
        <c:axId val="1"/>
      </c:scatterChart>
      <c:valAx>
        <c:axId val="54244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591338582677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09317585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44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333375</xdr:colOff>
      <xdr:row>18</xdr:row>
      <xdr:rowOff>85724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B3FCDD61-9B13-4935-9FB5-19666308D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400051</xdr:colOff>
      <xdr:row>0</xdr:row>
      <xdr:rowOff>0</xdr:rowOff>
    </xdr:from>
    <xdr:to>
      <xdr:col>27</xdr:col>
      <xdr:colOff>257176</xdr:colOff>
      <xdr:row>18</xdr:row>
      <xdr:rowOff>28575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7592A8FF-A99E-91CD-88F3-3ED0A91B6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C0D8743-944F-0FC7-6425-B09E6B657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www.konkoly.hu/cgi-bin/IBVS?4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46"/>
  <sheetViews>
    <sheetView tabSelected="1" workbookViewId="0">
      <selection activeCell="E9" sqref="E9: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19" ht="20.25">
      <c r="A1" s="1" t="s">
        <v>45</v>
      </c>
    </row>
    <row r="2" spans="1:19">
      <c r="A2" t="s">
        <v>26</v>
      </c>
      <c r="B2" s="16" t="s">
        <v>43</v>
      </c>
      <c r="C2" s="12"/>
    </row>
    <row r="3" spans="1:19" ht="13.5" thickBot="1"/>
    <row r="4" spans="1:19" ht="14.25" thickTop="1" thickBot="1">
      <c r="A4" s="8" t="s">
        <v>0</v>
      </c>
      <c r="C4" s="3">
        <v>26770.357</v>
      </c>
      <c r="D4" s="13" t="s">
        <v>14</v>
      </c>
    </row>
    <row r="5" spans="1:19" ht="13.5" thickTop="1">
      <c r="A5" s="20" t="s">
        <v>48</v>
      </c>
      <c r="B5" s="21"/>
      <c r="C5" s="22">
        <v>-9.5</v>
      </c>
      <c r="D5" s="21" t="s">
        <v>49</v>
      </c>
    </row>
    <row r="6" spans="1:19">
      <c r="A6" s="8" t="s">
        <v>1</v>
      </c>
    </row>
    <row r="7" spans="1:19">
      <c r="A7" t="s">
        <v>2</v>
      </c>
      <c r="C7">
        <f>+C4</f>
        <v>26770.357</v>
      </c>
      <c r="D7" s="12" t="s">
        <v>39</v>
      </c>
    </row>
    <row r="8" spans="1:19">
      <c r="A8" t="s">
        <v>3</v>
      </c>
      <c r="C8">
        <v>2.1628349999999998</v>
      </c>
      <c r="D8" s="14">
        <v>4888</v>
      </c>
    </row>
    <row r="9" spans="1:19">
      <c r="A9" s="34" t="s">
        <v>53</v>
      </c>
      <c r="B9" s="35">
        <v>21</v>
      </c>
      <c r="C9" s="24" t="str">
        <f>"F"&amp;B9</f>
        <v>F21</v>
      </c>
      <c r="D9" s="15" t="str">
        <f>"G"&amp;B9</f>
        <v>G21</v>
      </c>
    </row>
    <row r="10" spans="1:19" ht="13.5" thickBot="1">
      <c r="A10" s="21"/>
      <c r="B10" s="21"/>
      <c r="C10" s="7" t="s">
        <v>21</v>
      </c>
      <c r="D10" s="7" t="s">
        <v>22</v>
      </c>
      <c r="E10" s="21"/>
    </row>
    <row r="11" spans="1:19">
      <c r="A11" s="21" t="s">
        <v>16</v>
      </c>
      <c r="B11" s="21"/>
      <c r="C11" s="23">
        <f ca="1">INTERCEPT(INDIRECT($D$9):G992,INDIRECT($C$9):F992)</f>
        <v>2.3987132868976732E-2</v>
      </c>
      <c r="D11" s="6"/>
      <c r="E11" s="21"/>
    </row>
    <row r="12" spans="1:19">
      <c r="A12" s="21" t="s">
        <v>17</v>
      </c>
      <c r="B12" s="21"/>
      <c r="C12" s="23">
        <f ca="1">SLOPE(INDIRECT($D$9):G992,INDIRECT($C$9):F992)</f>
        <v>-2.8022703616205408E-6</v>
      </c>
      <c r="D12" s="6"/>
      <c r="E12" s="21"/>
    </row>
    <row r="13" spans="1:19">
      <c r="A13" s="21" t="s">
        <v>20</v>
      </c>
      <c r="B13" s="21"/>
      <c r="C13" s="6" t="s">
        <v>14</v>
      </c>
    </row>
    <row r="14" spans="1:19">
      <c r="A14" s="21"/>
      <c r="B14" s="21"/>
      <c r="C14" s="21"/>
    </row>
    <row r="15" spans="1:19">
      <c r="A15" s="25" t="s">
        <v>18</v>
      </c>
      <c r="B15" s="21"/>
      <c r="C15" s="26">
        <f ca="1">(C7+C11)+(C8+C12)*INT(MAX(F21:F3533))</f>
        <v>57789.720366971342</v>
      </c>
      <c r="E15" s="27" t="s">
        <v>54</v>
      </c>
      <c r="F15" s="22">
        <v>1</v>
      </c>
    </row>
    <row r="16" spans="1:19">
      <c r="A16" s="29" t="s">
        <v>4</v>
      </c>
      <c r="B16" s="21"/>
      <c r="C16" s="30">
        <f ca="1">+C8+C12</f>
        <v>2.1628321977296383</v>
      </c>
      <c r="E16" s="27" t="s">
        <v>50</v>
      </c>
      <c r="F16" s="28">
        <f ca="1">NOW()+15018.5+$C$5/24</f>
        <v>60336.811932407407</v>
      </c>
      <c r="Q16" t="s">
        <v>41</v>
      </c>
      <c r="S16">
        <f ca="1">SUM(S22:S28)</f>
        <v>8.7054906624730471E-4</v>
      </c>
    </row>
    <row r="17" spans="1:32" ht="13.5" thickBot="1">
      <c r="A17" s="27" t="s">
        <v>44</v>
      </c>
      <c r="B17" s="21"/>
      <c r="C17" s="21">
        <f>COUNT(C21:C2191)</f>
        <v>18</v>
      </c>
      <c r="E17" s="27" t="s">
        <v>55</v>
      </c>
      <c r="F17" s="28">
        <f ca="1">ROUND(2*(F16-$C$7)/$C$8,0)/2+F15</f>
        <v>15520.5</v>
      </c>
      <c r="Q17" t="s">
        <v>42</v>
      </c>
      <c r="S17">
        <f ca="1">+SQRT(S16/(COUNT(S22:S28)-1))</f>
        <v>1.204539376862448E-2</v>
      </c>
    </row>
    <row r="18" spans="1:32" ht="14.25" thickTop="1" thickBot="1">
      <c r="A18" s="29" t="s">
        <v>5</v>
      </c>
      <c r="B18" s="21"/>
      <c r="C18" s="32">
        <f ca="1">+C15</f>
        <v>57789.720366971342</v>
      </c>
      <c r="D18" s="33">
        <f ca="1">+C16</f>
        <v>2.1628321977296383</v>
      </c>
      <c r="E18" s="27" t="s">
        <v>51</v>
      </c>
      <c r="F18" s="15">
        <f ca="1">ROUND(2*(F16-$C$15)/$C$16,0)/2+F15</f>
        <v>1178.5</v>
      </c>
    </row>
    <row r="19" spans="1:32" ht="13.5" thickTop="1">
      <c r="E19" s="27" t="s">
        <v>52</v>
      </c>
      <c r="F19" s="31">
        <f ca="1">+$C$15+$C$16*F18-15018.5-$C$5/24</f>
        <v>45320.513945329054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63</v>
      </c>
      <c r="I20" s="10" t="s">
        <v>66</v>
      </c>
      <c r="J20" s="10" t="s">
        <v>60</v>
      </c>
      <c r="K20" s="10" t="s">
        <v>58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R20" s="53"/>
    </row>
    <row r="21" spans="1:32" ht="12.75" customHeight="1">
      <c r="A21" t="s">
        <v>12</v>
      </c>
      <c r="C21" s="36">
        <v>26770.357</v>
      </c>
      <c r="D21" s="36" t="s">
        <v>14</v>
      </c>
      <c r="E21">
        <f t="shared" ref="E21:E36" si="0">+(C21-C$7)/C$8</f>
        <v>0</v>
      </c>
      <c r="F21">
        <f t="shared" ref="F21:F38" si="1">ROUND(2*E21,0)/2</f>
        <v>0</v>
      </c>
      <c r="G21">
        <f t="shared" ref="G21:G36" si="2">+C21-(C$7+F21*C$8)</f>
        <v>0</v>
      </c>
      <c r="H21" s="15">
        <v>0</v>
      </c>
      <c r="O21">
        <f t="shared" ref="O21:O36" ca="1" si="3">+C$11+C$12*F21</f>
        <v>2.3987132868976732E-2</v>
      </c>
      <c r="Q21" s="2">
        <f t="shared" ref="Q21:Q36" si="4">+C21-15018.5</f>
        <v>11751.857</v>
      </c>
      <c r="R21" s="2"/>
    </row>
    <row r="22" spans="1:32">
      <c r="A22" s="51" t="s">
        <v>80</v>
      </c>
      <c r="B22" s="52" t="s">
        <v>47</v>
      </c>
      <c r="C22" s="51">
        <v>27460.32</v>
      </c>
      <c r="D22" s="51" t="s">
        <v>66</v>
      </c>
      <c r="E22">
        <f t="shared" si="0"/>
        <v>319.00861600630645</v>
      </c>
      <c r="F22">
        <f t="shared" si="1"/>
        <v>319</v>
      </c>
      <c r="G22">
        <f t="shared" si="2"/>
        <v>1.8635000000358559E-2</v>
      </c>
      <c r="I22">
        <f>G22</f>
        <v>1.8635000000358559E-2</v>
      </c>
      <c r="O22">
        <f t="shared" ca="1" si="3"/>
        <v>2.3093208623619781E-2</v>
      </c>
      <c r="Q22" s="2">
        <f t="shared" si="4"/>
        <v>12441.82</v>
      </c>
      <c r="R22" s="2"/>
      <c r="S22">
        <f t="shared" ref="S22:S36" ca="1" si="5">+(O22-G22)^2</f>
        <v>1.9875624128520721E-5</v>
      </c>
    </row>
    <row r="23" spans="1:32" ht="12.75" customHeight="1">
      <c r="A23" t="s">
        <v>32</v>
      </c>
      <c r="C23" s="37">
        <v>47159.42</v>
      </c>
      <c r="D23" s="36"/>
      <c r="E23">
        <f t="shared" si="0"/>
        <v>9427.0080704260836</v>
      </c>
      <c r="F23">
        <f t="shared" si="1"/>
        <v>9427</v>
      </c>
      <c r="G23">
        <f t="shared" si="2"/>
        <v>1.7455000001064036E-2</v>
      </c>
      <c r="I23">
        <f>+G23</f>
        <v>1.7455000001064036E-2</v>
      </c>
      <c r="O23">
        <f t="shared" ca="1" si="3"/>
        <v>-2.4298698300201059E-3</v>
      </c>
      <c r="Q23" s="2">
        <f t="shared" si="4"/>
        <v>32140.92</v>
      </c>
      <c r="R23" s="2"/>
      <c r="S23">
        <f t="shared" ca="1" si="5"/>
        <v>3.9540804819916025E-4</v>
      </c>
      <c r="AB23">
        <v>5</v>
      </c>
      <c r="AD23" t="s">
        <v>31</v>
      </c>
      <c r="AF23" t="s">
        <v>33</v>
      </c>
    </row>
    <row r="24" spans="1:32" ht="12.75" customHeight="1">
      <c r="A24" t="s">
        <v>32</v>
      </c>
      <c r="C24" s="37">
        <v>47213.49</v>
      </c>
      <c r="D24" s="36"/>
      <c r="E24">
        <f t="shared" si="0"/>
        <v>9452.0076658644793</v>
      </c>
      <c r="F24">
        <f t="shared" si="1"/>
        <v>9452</v>
      </c>
      <c r="G24">
        <f t="shared" si="2"/>
        <v>1.6580000003159512E-2</v>
      </c>
      <c r="I24">
        <f>+G24</f>
        <v>1.6580000003159512E-2</v>
      </c>
      <c r="O24">
        <f t="shared" ca="1" si="3"/>
        <v>-2.4999265890606193E-3</v>
      </c>
      <c r="Q24" s="2">
        <f t="shared" si="4"/>
        <v>32194.989999999998</v>
      </c>
      <c r="R24" s="2"/>
      <c r="S24">
        <f t="shared" ca="1" si="5"/>
        <v>3.6404359876450888E-4</v>
      </c>
      <c r="AB24">
        <v>16</v>
      </c>
      <c r="AD24" t="s">
        <v>31</v>
      </c>
      <c r="AF24" t="s">
        <v>33</v>
      </c>
    </row>
    <row r="25" spans="1:32" ht="12.75" customHeight="1">
      <c r="A25" t="s">
        <v>34</v>
      </c>
      <c r="C25" s="37">
        <v>47596.3</v>
      </c>
      <c r="D25" s="36"/>
      <c r="E25">
        <f t="shared" si="0"/>
        <v>9629.0022123740382</v>
      </c>
      <c r="F25">
        <f t="shared" si="1"/>
        <v>9629</v>
      </c>
      <c r="G25">
        <f t="shared" si="2"/>
        <v>4.7850000046310015E-3</v>
      </c>
      <c r="I25">
        <f>+G25</f>
        <v>4.7850000046310015E-3</v>
      </c>
      <c r="O25">
        <f t="shared" ca="1" si="3"/>
        <v>-2.9959284430674561E-3</v>
      </c>
      <c r="Q25" s="2">
        <f t="shared" si="4"/>
        <v>32577.800000000003</v>
      </c>
      <c r="R25" s="2"/>
      <c r="S25">
        <f t="shared" ca="1" si="5"/>
        <v>6.0542847508203127E-5</v>
      </c>
      <c r="AB25">
        <v>5</v>
      </c>
      <c r="AD25" t="s">
        <v>31</v>
      </c>
      <c r="AF25" t="s">
        <v>33</v>
      </c>
    </row>
    <row r="26" spans="1:32">
      <c r="A26" s="51" t="s">
        <v>80</v>
      </c>
      <c r="B26" s="52" t="s">
        <v>47</v>
      </c>
      <c r="C26" s="51">
        <v>47825.55</v>
      </c>
      <c r="D26" s="51" t="s">
        <v>66</v>
      </c>
      <c r="E26">
        <f t="shared" si="0"/>
        <v>9734.9973530112111</v>
      </c>
      <c r="F26">
        <f t="shared" si="1"/>
        <v>9735</v>
      </c>
      <c r="G26">
        <f t="shared" si="2"/>
        <v>-5.7249999954365194E-3</v>
      </c>
      <c r="I26">
        <f>G26</f>
        <v>-5.7249999954365194E-3</v>
      </c>
      <c r="O26">
        <f t="shared" ca="1" si="3"/>
        <v>-3.2929691013992325E-3</v>
      </c>
      <c r="Q26" s="2">
        <f t="shared" si="4"/>
        <v>32807.050000000003</v>
      </c>
      <c r="R26" s="2"/>
      <c r="S26">
        <f t="shared" ca="1" si="5"/>
        <v>5.914774269551805E-6</v>
      </c>
    </row>
    <row r="27" spans="1:32">
      <c r="A27" s="51" t="s">
        <v>80</v>
      </c>
      <c r="B27" s="52" t="s">
        <v>47</v>
      </c>
      <c r="C27" s="51">
        <v>47918.55</v>
      </c>
      <c r="D27" s="51" t="s">
        <v>66</v>
      </c>
      <c r="E27">
        <f t="shared" si="0"/>
        <v>9777.9964722228015</v>
      </c>
      <c r="F27">
        <f t="shared" si="1"/>
        <v>9778</v>
      </c>
      <c r="G27">
        <f t="shared" si="2"/>
        <v>-7.6299999927869067E-3</v>
      </c>
      <c r="I27">
        <f>G27</f>
        <v>-7.6299999927869067E-3</v>
      </c>
      <c r="O27">
        <f t="shared" ca="1" si="3"/>
        <v>-3.4134667269489147E-3</v>
      </c>
      <c r="Q27" s="2">
        <f t="shared" si="4"/>
        <v>32900.050000000003</v>
      </c>
      <c r="R27" s="2"/>
      <c r="S27">
        <f t="shared" ca="1" si="5"/>
        <v>1.7779152781918404E-5</v>
      </c>
    </row>
    <row r="28" spans="1:32">
      <c r="A28" s="51" t="s">
        <v>80</v>
      </c>
      <c r="B28" s="52" t="s">
        <v>47</v>
      </c>
      <c r="C28" s="51">
        <v>47968.302000000003</v>
      </c>
      <c r="D28" s="51" t="s">
        <v>66</v>
      </c>
      <c r="E28">
        <f t="shared" si="0"/>
        <v>9800.9996139326413</v>
      </c>
      <c r="F28">
        <f t="shared" si="1"/>
        <v>9801</v>
      </c>
      <c r="G28">
        <f t="shared" si="2"/>
        <v>-8.3499999163905159E-4</v>
      </c>
      <c r="I28">
        <f>G28</f>
        <v>-8.3499999163905159E-4</v>
      </c>
      <c r="O28">
        <f t="shared" ca="1" si="3"/>
        <v>-3.4779189452661882E-3</v>
      </c>
      <c r="Q28" s="2">
        <f t="shared" si="4"/>
        <v>32949.802000000003</v>
      </c>
      <c r="R28" s="2"/>
      <c r="S28">
        <f t="shared" ca="1" si="5"/>
        <v>6.9850205954415586E-6</v>
      </c>
    </row>
    <row r="29" spans="1:32">
      <c r="A29" s="51" t="s">
        <v>80</v>
      </c>
      <c r="B29" s="52" t="s">
        <v>47</v>
      </c>
      <c r="C29" s="51">
        <v>47970.466</v>
      </c>
      <c r="D29" s="51" t="s">
        <v>66</v>
      </c>
      <c r="E29">
        <f t="shared" si="0"/>
        <v>9802.0001525775206</v>
      </c>
      <c r="F29">
        <f t="shared" si="1"/>
        <v>9802</v>
      </c>
      <c r="G29">
        <f t="shared" si="2"/>
        <v>3.3000000257743523E-4</v>
      </c>
      <c r="I29">
        <f>G29</f>
        <v>3.3000000257743523E-4</v>
      </c>
      <c r="O29">
        <f t="shared" ca="1" si="3"/>
        <v>-3.4807212156278099E-3</v>
      </c>
      <c r="Q29" s="2">
        <f t="shared" si="4"/>
        <v>32951.966</v>
      </c>
      <c r="R29" s="2"/>
      <c r="S29">
        <f t="shared" ca="1" si="5"/>
        <v>1.4521596202879667E-5</v>
      </c>
    </row>
    <row r="30" spans="1:32" ht="12.75" customHeight="1">
      <c r="A30" t="s">
        <v>35</v>
      </c>
      <c r="C30" s="37">
        <v>48314.37</v>
      </c>
      <c r="D30" s="36">
        <v>0.01</v>
      </c>
      <c r="E30">
        <f t="shared" si="0"/>
        <v>9961.0062718607769</v>
      </c>
      <c r="F30">
        <f t="shared" si="1"/>
        <v>9961</v>
      </c>
      <c r="G30">
        <f t="shared" si="2"/>
        <v>1.3565000008384231E-2</v>
      </c>
      <c r="I30">
        <f>+G30</f>
        <v>1.3565000008384231E-2</v>
      </c>
      <c r="O30">
        <f t="shared" ca="1" si="3"/>
        <v>-3.9262822031254745E-3</v>
      </c>
      <c r="Q30" s="2">
        <f t="shared" si="4"/>
        <v>33295.870000000003</v>
      </c>
      <c r="R30" s="2"/>
      <c r="S30">
        <f t="shared" ca="1" si="5"/>
        <v>3.0594495340267587E-4</v>
      </c>
      <c r="AB30">
        <v>40</v>
      </c>
      <c r="AD30" t="s">
        <v>31</v>
      </c>
      <c r="AF30" t="s">
        <v>33</v>
      </c>
    </row>
    <row r="31" spans="1:32" ht="12.75" customHeight="1">
      <c r="A31" t="s">
        <v>36</v>
      </c>
      <c r="C31" s="37">
        <v>48673.398999999998</v>
      </c>
      <c r="D31" s="36">
        <v>7.0000000000000001E-3</v>
      </c>
      <c r="E31">
        <f t="shared" si="0"/>
        <v>10127.005527467421</v>
      </c>
      <c r="F31">
        <f t="shared" si="1"/>
        <v>10127</v>
      </c>
      <c r="G31">
        <f t="shared" si="2"/>
        <v>1.1955000001762528E-2</v>
      </c>
      <c r="I31">
        <f>+G31</f>
        <v>1.1955000001762528E-2</v>
      </c>
      <c r="O31">
        <f t="shared" ca="1" si="3"/>
        <v>-4.3914590831544836E-3</v>
      </c>
      <c r="Q31" s="2">
        <f t="shared" si="4"/>
        <v>33654.898999999998</v>
      </c>
      <c r="R31" s="2"/>
      <c r="S31">
        <f t="shared" ca="1" si="5"/>
        <v>2.6720672461486592E-4</v>
      </c>
      <c r="AB31">
        <v>29</v>
      </c>
      <c r="AD31" t="s">
        <v>31</v>
      </c>
      <c r="AF31" t="s">
        <v>33</v>
      </c>
    </row>
    <row r="32" spans="1:32" ht="12.75" customHeight="1">
      <c r="A32" t="s">
        <v>37</v>
      </c>
      <c r="C32" s="37">
        <v>49019.44</v>
      </c>
      <c r="D32" s="36">
        <v>7.0000000000000001E-3</v>
      </c>
      <c r="E32">
        <f t="shared" si="0"/>
        <v>10286.999701780303</v>
      </c>
      <c r="F32">
        <f t="shared" si="1"/>
        <v>10287</v>
      </c>
      <c r="G32">
        <f t="shared" si="2"/>
        <v>-6.449999928008765E-4</v>
      </c>
      <c r="I32">
        <f>+G32</f>
        <v>-6.449999928008765E-4</v>
      </c>
      <c r="K32">
        <f>G33</f>
        <v>-6.449999928008765E-4</v>
      </c>
      <c r="O32">
        <f t="shared" ca="1" si="3"/>
        <v>-4.8398223410137699E-3</v>
      </c>
      <c r="Q32" s="2">
        <f t="shared" si="4"/>
        <v>34000.94</v>
      </c>
      <c r="R32" s="2"/>
      <c r="S32">
        <f t="shared" ca="1" si="5"/>
        <v>1.7596534533066334E-5</v>
      </c>
      <c r="AB32">
        <v>20</v>
      </c>
      <c r="AD32" t="s">
        <v>31</v>
      </c>
      <c r="AF32" t="s">
        <v>33</v>
      </c>
    </row>
    <row r="33" spans="1:19" ht="12.75" customHeight="1">
      <c r="A33" t="s">
        <v>38</v>
      </c>
      <c r="C33" s="37">
        <v>49019.44</v>
      </c>
      <c r="D33" s="36">
        <v>7.0000000000000001E-3</v>
      </c>
      <c r="E33">
        <f t="shared" si="0"/>
        <v>10286.999701780303</v>
      </c>
      <c r="F33">
        <f t="shared" si="1"/>
        <v>10287</v>
      </c>
      <c r="G33">
        <f t="shared" si="2"/>
        <v>-6.449999928008765E-4</v>
      </c>
      <c r="K33">
        <f>G34</f>
        <v>-6.100000005972106E-3</v>
      </c>
      <c r="O33">
        <f t="shared" ca="1" si="3"/>
        <v>-4.8398223410137699E-3</v>
      </c>
      <c r="Q33" s="2">
        <f t="shared" si="4"/>
        <v>34000.94</v>
      </c>
      <c r="R33" s="2" t="s">
        <v>58</v>
      </c>
      <c r="S33">
        <f t="shared" ca="1" si="5"/>
        <v>1.7596534533066334E-5</v>
      </c>
    </row>
    <row r="34" spans="1:19" ht="12.75" customHeight="1">
      <c r="A34" s="19" t="s">
        <v>38</v>
      </c>
      <c r="B34" s="18"/>
      <c r="C34" s="19">
        <v>50864.332799999996</v>
      </c>
      <c r="D34" s="19">
        <v>2.0999999999999999E-3</v>
      </c>
      <c r="E34">
        <f t="shared" si="0"/>
        <v>11139.997179627664</v>
      </c>
      <c r="F34">
        <f t="shared" si="1"/>
        <v>11140</v>
      </c>
      <c r="G34">
        <f t="shared" si="2"/>
        <v>-6.100000005972106E-3</v>
      </c>
      <c r="K34">
        <f>G35</f>
        <v>1.0599999994155951E-2</v>
      </c>
      <c r="O34">
        <f t="shared" ca="1" si="3"/>
        <v>-7.2301589594760927E-3</v>
      </c>
      <c r="Q34" s="2">
        <f t="shared" si="4"/>
        <v>35845.832799999996</v>
      </c>
      <c r="R34" s="2" t="s">
        <v>58</v>
      </c>
      <c r="S34">
        <f t="shared" ca="1" si="5"/>
        <v>1.2772592601852265E-6</v>
      </c>
    </row>
    <row r="35" spans="1:19">
      <c r="A35" s="51" t="s">
        <v>128</v>
      </c>
      <c r="B35" s="52" t="s">
        <v>47</v>
      </c>
      <c r="C35" s="51">
        <v>50864.349499999997</v>
      </c>
      <c r="D35" s="51" t="s">
        <v>66</v>
      </c>
      <c r="E35">
        <f t="shared" si="0"/>
        <v>11140.004900974876</v>
      </c>
      <c r="F35">
        <f t="shared" si="1"/>
        <v>11140</v>
      </c>
      <c r="G35">
        <f t="shared" si="2"/>
        <v>1.0599999994155951E-2</v>
      </c>
      <c r="J35">
        <f>G35</f>
        <v>1.0599999994155951E-2</v>
      </c>
      <c r="O35">
        <f t="shared" ca="1" si="3"/>
        <v>-7.2301589594760927E-3</v>
      </c>
      <c r="Q35" s="2">
        <f t="shared" si="4"/>
        <v>35845.849499999997</v>
      </c>
      <c r="R35" s="2"/>
      <c r="S35">
        <f t="shared" ca="1" si="5"/>
        <v>3.1791456831178493E-4</v>
      </c>
    </row>
    <row r="36" spans="1:19" ht="12.75" customHeight="1">
      <c r="A36" s="17" t="s">
        <v>46</v>
      </c>
      <c r="B36" s="18" t="s">
        <v>47</v>
      </c>
      <c r="C36" s="19">
        <v>53351.561000000002</v>
      </c>
      <c r="D36" s="19">
        <v>4.0000000000000001E-3</v>
      </c>
      <c r="E36">
        <f t="shared" si="0"/>
        <v>12289.982361114002</v>
      </c>
      <c r="F36">
        <f t="shared" si="1"/>
        <v>12290</v>
      </c>
      <c r="G36">
        <f t="shared" si="2"/>
        <v>-3.8149999993038364E-2</v>
      </c>
      <c r="O36">
        <f t="shared" ca="1" si="3"/>
        <v>-1.0452769875339711E-2</v>
      </c>
      <c r="Q36" s="2">
        <f t="shared" si="4"/>
        <v>38333.061000000002</v>
      </c>
      <c r="R36" s="2" t="s">
        <v>58</v>
      </c>
      <c r="S36">
        <f t="shared" ca="1" si="5"/>
        <v>7.6713655619275328E-4</v>
      </c>
    </row>
    <row r="37" spans="1:19">
      <c r="A37" s="54" t="s">
        <v>134</v>
      </c>
      <c r="B37" s="55" t="s">
        <v>47</v>
      </c>
      <c r="C37" s="56">
        <v>57417.693200000002</v>
      </c>
      <c r="D37" s="56">
        <v>1E-4</v>
      </c>
      <c r="E37">
        <f>+(C37-C$7)/C$8</f>
        <v>14169.983470768691</v>
      </c>
      <c r="F37">
        <f t="shared" si="1"/>
        <v>14170</v>
      </c>
      <c r="G37">
        <f>+C37-(C$7+F37*C$8)</f>
        <v>-3.5749999995459802E-2</v>
      </c>
      <c r="K37">
        <f>G38</f>
        <v>-4.7769999990123324E-2</v>
      </c>
      <c r="O37">
        <f ca="1">+C$11+C$12*F37</f>
        <v>-1.5721038155186329E-2</v>
      </c>
      <c r="Q37" s="2">
        <f>+C37-15018.5</f>
        <v>42399.193200000002</v>
      </c>
      <c r="R37" s="2" t="e">
        <v>#N/A</v>
      </c>
      <c r="S37">
        <f ca="1">+(O37-G37)^2</f>
        <v>4.0115931239913098E-4</v>
      </c>
    </row>
    <row r="38" spans="1:19">
      <c r="A38" s="57" t="s">
        <v>135</v>
      </c>
      <c r="B38" s="58" t="s">
        <v>47</v>
      </c>
      <c r="C38" s="59">
        <v>57789.688800000004</v>
      </c>
      <c r="D38" s="59">
        <v>4.0000000000000002E-4</v>
      </c>
      <c r="E38">
        <f>+(C38-C$7)/C$8</f>
        <v>14341.977913248124</v>
      </c>
      <c r="F38">
        <f t="shared" si="1"/>
        <v>14342</v>
      </c>
      <c r="G38">
        <f>+C38-(C$7+F38*C$8)</f>
        <v>-4.7769999990123324E-2</v>
      </c>
      <c r="K38">
        <f>G39</f>
        <v>0</v>
      </c>
      <c r="O38">
        <f ca="1">+C$11+C$12*F38</f>
        <v>-1.6203028657385064E-2</v>
      </c>
      <c r="Q38" s="2">
        <f>+C38-15018.5</f>
        <v>42771.188800000004</v>
      </c>
    </row>
    <row r="39" spans="1:19">
      <c r="D39" s="6"/>
    </row>
    <row r="40" spans="1:19">
      <c r="D40" s="6"/>
    </row>
    <row r="41" spans="1:19">
      <c r="D41" s="6"/>
    </row>
    <row r="42" spans="1:19">
      <c r="D42" s="6"/>
    </row>
    <row r="43" spans="1:19">
      <c r="D43" s="6"/>
    </row>
    <row r="44" spans="1:19">
      <c r="D44" s="6"/>
    </row>
    <row r="45" spans="1:19">
      <c r="D45" s="6"/>
    </row>
    <row r="46" spans="1:19">
      <c r="D46" s="6"/>
    </row>
  </sheetData>
  <protectedRanges>
    <protectedRange sqref="A38:D38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selection activeCell="S19" sqref="S1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>
      <c r="A1" s="1" t="s">
        <v>30</v>
      </c>
      <c r="C1" s="12"/>
    </row>
    <row r="2" spans="1:18">
      <c r="A2" t="s">
        <v>26</v>
      </c>
    </row>
    <row r="4" spans="1:18">
      <c r="A4" s="8" t="s">
        <v>0</v>
      </c>
      <c r="C4" s="3">
        <v>26770.357</v>
      </c>
      <c r="D4" s="13" t="s">
        <v>14</v>
      </c>
    </row>
    <row r="6" spans="1:18">
      <c r="A6" s="8" t="s">
        <v>1</v>
      </c>
    </row>
    <row r="7" spans="1:18">
      <c r="A7" t="s">
        <v>2</v>
      </c>
      <c r="C7">
        <f>+C4</f>
        <v>26770.357</v>
      </c>
      <c r="D7" s="12" t="s">
        <v>39</v>
      </c>
    </row>
    <row r="8" spans="1:18">
      <c r="A8" t="s">
        <v>3</v>
      </c>
      <c r="C8">
        <v>2.1628349999999998</v>
      </c>
      <c r="D8" s="14">
        <v>4888</v>
      </c>
    </row>
    <row r="10" spans="1:18" ht="13.5" thickBot="1">
      <c r="C10" s="7" t="s">
        <v>21</v>
      </c>
      <c r="D10" s="7" t="s">
        <v>22</v>
      </c>
    </row>
    <row r="11" spans="1:18">
      <c r="A11" t="s">
        <v>16</v>
      </c>
      <c r="C11">
        <f>INTERCEPT(G21:G993,F21:F993)</f>
        <v>1.3570319750425691E-3</v>
      </c>
      <c r="D11" s="6"/>
    </row>
    <row r="12" spans="1:18">
      <c r="A12" t="s">
        <v>17</v>
      </c>
      <c r="C12">
        <f>SLOPE(G21:G993,F21:F993)</f>
        <v>7.5457198544251845E-7</v>
      </c>
      <c r="D12" s="6"/>
    </row>
    <row r="13" spans="1:18">
      <c r="A13" t="s">
        <v>20</v>
      </c>
      <c r="C13" s="6" t="s">
        <v>14</v>
      </c>
      <c r="D13" s="6"/>
    </row>
    <row r="14" spans="1:18">
      <c r="A14" t="s">
        <v>25</v>
      </c>
    </row>
    <row r="15" spans="1:18">
      <c r="A15" s="4" t="s">
        <v>18</v>
      </c>
      <c r="C15" s="11">
        <v>49019.44</v>
      </c>
    </row>
    <row r="16" spans="1:18">
      <c r="A16" s="8" t="s">
        <v>4</v>
      </c>
      <c r="C16">
        <f>+C8+C12</f>
        <v>2.1628357545719852</v>
      </c>
      <c r="Q16" t="s">
        <v>41</v>
      </c>
      <c r="R16">
        <f>SUM(R22:R28)</f>
        <v>3.8234829323245277E-4</v>
      </c>
    </row>
    <row r="17" spans="1:31" ht="13.5" thickBot="1">
      <c r="Q17" t="s">
        <v>42</v>
      </c>
      <c r="R17">
        <f>+SQRT(R16/(COUNT(R22:R28)-1))</f>
        <v>7.9827761799227542E-3</v>
      </c>
    </row>
    <row r="18" spans="1:31">
      <c r="A18" s="8" t="s">
        <v>5</v>
      </c>
      <c r="C18" s="3">
        <f>+C15</f>
        <v>49019.44</v>
      </c>
      <c r="D18" s="5">
        <f>+C16</f>
        <v>2.1628357545719852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40</v>
      </c>
      <c r="J20" s="10" t="s">
        <v>39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>
        <v>26770.357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1.3570319750425691E-3</v>
      </c>
      <c r="Q21" s="2">
        <f>+C21-15018.5</f>
        <v>11751.857</v>
      </c>
      <c r="R21">
        <f>+(O21-G21)^2</f>
        <v>1.8415357812879359E-6</v>
      </c>
    </row>
    <row r="22" spans="1:31">
      <c r="A22" t="s">
        <v>32</v>
      </c>
      <c r="C22" s="11">
        <v>47159.42</v>
      </c>
      <c r="D22" s="6"/>
      <c r="E22">
        <f t="shared" ref="E22:E27" si="0">+(C22-C$7)/C$8</f>
        <v>9427.0080704260836</v>
      </c>
      <c r="F22">
        <f t="shared" ref="F22:F28" si="1">ROUND(2*E22,0)/2</f>
        <v>9427</v>
      </c>
      <c r="G22">
        <f t="shared" ref="G22:G27" si="2">+C22-(C$7+F22*C$8)</f>
        <v>1.7455000001064036E-2</v>
      </c>
      <c r="I22">
        <f t="shared" ref="I22:I27" si="3">+G22</f>
        <v>1.7455000001064036E-2</v>
      </c>
      <c r="O22">
        <f t="shared" ref="O22:O27" si="4">+C$11+C$12*F22</f>
        <v>8.4703820818091899E-3</v>
      </c>
      <c r="Q22" s="2">
        <f t="shared" ref="Q22:Q27" si="5">+C22-15018.5</f>
        <v>32140.92</v>
      </c>
      <c r="R22">
        <f t="shared" ref="R22:R28" si="6">+(O22-G22)^2</f>
        <v>8.0723359154995288E-5</v>
      </c>
      <c r="AA22">
        <v>5</v>
      </c>
      <c r="AC22" t="s">
        <v>31</v>
      </c>
      <c r="AE22" t="s">
        <v>33</v>
      </c>
    </row>
    <row r="23" spans="1:31">
      <c r="A23" t="s">
        <v>32</v>
      </c>
      <c r="C23" s="11">
        <v>47213.49</v>
      </c>
      <c r="D23" s="6"/>
      <c r="E23">
        <f t="shared" si="0"/>
        <v>9452.0076658644793</v>
      </c>
      <c r="F23">
        <f t="shared" si="1"/>
        <v>9452</v>
      </c>
      <c r="G23">
        <f t="shared" si="2"/>
        <v>1.6580000003159512E-2</v>
      </c>
      <c r="I23">
        <f t="shared" si="3"/>
        <v>1.6580000003159512E-2</v>
      </c>
      <c r="O23">
        <f t="shared" si="4"/>
        <v>8.4892463814452528E-3</v>
      </c>
      <c r="Q23" s="2">
        <f t="shared" si="5"/>
        <v>32194.989999999998</v>
      </c>
      <c r="R23">
        <f t="shared" si="6"/>
        <v>6.5460294167282398E-5</v>
      </c>
      <c r="AA23">
        <v>16</v>
      </c>
      <c r="AC23" t="s">
        <v>31</v>
      </c>
      <c r="AE23" t="s">
        <v>33</v>
      </c>
    </row>
    <row r="24" spans="1:31">
      <c r="A24" t="s">
        <v>34</v>
      </c>
      <c r="C24" s="11">
        <v>47596.3</v>
      </c>
      <c r="D24" s="6"/>
      <c r="E24">
        <f t="shared" si="0"/>
        <v>9629.0022123740382</v>
      </c>
      <c r="F24">
        <f t="shared" si="1"/>
        <v>9629</v>
      </c>
      <c r="G24">
        <f t="shared" si="2"/>
        <v>4.7850000046310015E-3</v>
      </c>
      <c r="I24">
        <f t="shared" si="3"/>
        <v>4.7850000046310015E-3</v>
      </c>
      <c r="O24">
        <f t="shared" si="4"/>
        <v>8.6228056228685804E-3</v>
      </c>
      <c r="Q24" s="2">
        <f t="shared" si="5"/>
        <v>32577.800000000003</v>
      </c>
      <c r="R24">
        <f t="shared" si="6"/>
        <v>1.4728751963375926E-5</v>
      </c>
      <c r="AA24">
        <v>5</v>
      </c>
      <c r="AC24" t="s">
        <v>31</v>
      </c>
      <c r="AE24" t="s">
        <v>33</v>
      </c>
    </row>
    <row r="25" spans="1:31">
      <c r="A25" t="s">
        <v>35</v>
      </c>
      <c r="C25" s="11">
        <v>48314.37</v>
      </c>
      <c r="D25">
        <v>0.01</v>
      </c>
      <c r="E25">
        <f t="shared" si="0"/>
        <v>9961.0062718607769</v>
      </c>
      <c r="F25">
        <f t="shared" si="1"/>
        <v>9961</v>
      </c>
      <c r="G25">
        <f t="shared" si="2"/>
        <v>1.3565000008384231E-2</v>
      </c>
      <c r="I25">
        <f t="shared" si="3"/>
        <v>1.3565000008384231E-2</v>
      </c>
      <c r="O25">
        <f t="shared" si="4"/>
        <v>8.8733235220354954E-3</v>
      </c>
      <c r="Q25" s="2">
        <f t="shared" si="5"/>
        <v>33295.870000000003</v>
      </c>
      <c r="R25">
        <f t="shared" si="6"/>
        <v>2.2011828252557623E-5</v>
      </c>
      <c r="AA25">
        <v>40</v>
      </c>
      <c r="AC25" t="s">
        <v>31</v>
      </c>
      <c r="AE25" t="s">
        <v>33</v>
      </c>
    </row>
    <row r="26" spans="1:31">
      <c r="A26" t="s">
        <v>36</v>
      </c>
      <c r="C26" s="11">
        <v>48673.398999999998</v>
      </c>
      <c r="D26">
        <v>7.0000000000000001E-3</v>
      </c>
      <c r="E26">
        <f t="shared" si="0"/>
        <v>10127.005527467421</v>
      </c>
      <c r="F26">
        <f t="shared" si="1"/>
        <v>10127</v>
      </c>
      <c r="G26">
        <f t="shared" si="2"/>
        <v>1.1955000001762528E-2</v>
      </c>
      <c r="I26">
        <f t="shared" si="3"/>
        <v>1.1955000001762528E-2</v>
      </c>
      <c r="O26">
        <f t="shared" si="4"/>
        <v>8.9985824716189537E-3</v>
      </c>
      <c r="Q26" s="2">
        <f t="shared" si="5"/>
        <v>33654.898999999998</v>
      </c>
      <c r="R26">
        <f t="shared" si="6"/>
        <v>8.7404046125402321E-6</v>
      </c>
      <c r="AA26">
        <v>29</v>
      </c>
      <c r="AC26" t="s">
        <v>31</v>
      </c>
      <c r="AE26" t="s">
        <v>33</v>
      </c>
    </row>
    <row r="27" spans="1:31">
      <c r="A27" t="s">
        <v>37</v>
      </c>
      <c r="C27" s="11">
        <v>49019.44</v>
      </c>
      <c r="D27">
        <v>7.0000000000000001E-3</v>
      </c>
      <c r="E27">
        <f t="shared" si="0"/>
        <v>10286.999701780303</v>
      </c>
      <c r="F27">
        <f t="shared" si="1"/>
        <v>10287</v>
      </c>
      <c r="G27">
        <f t="shared" si="2"/>
        <v>-6.449999928008765E-4</v>
      </c>
      <c r="I27">
        <f t="shared" si="3"/>
        <v>-6.449999928008765E-4</v>
      </c>
      <c r="O27">
        <f t="shared" si="4"/>
        <v>9.1193139892897564E-3</v>
      </c>
      <c r="Q27" s="2">
        <f t="shared" si="5"/>
        <v>34000.94</v>
      </c>
      <c r="R27">
        <f t="shared" si="6"/>
        <v>9.5341827540850632E-5</v>
      </c>
      <c r="AA27">
        <v>20</v>
      </c>
      <c r="AC27" t="s">
        <v>31</v>
      </c>
      <c r="AE27" t="s">
        <v>33</v>
      </c>
    </row>
    <row r="28" spans="1:31">
      <c r="A28" t="s">
        <v>38</v>
      </c>
      <c r="C28" s="11">
        <v>49019.44</v>
      </c>
      <c r="D28">
        <v>7.0000000000000001E-3</v>
      </c>
      <c r="E28">
        <f>+(C28-C$7)/C$8</f>
        <v>10286.999701780303</v>
      </c>
      <c r="F28">
        <f t="shared" si="1"/>
        <v>10287</v>
      </c>
      <c r="G28">
        <f>+C28-(C$7+F28*C$8)</f>
        <v>-6.449999928008765E-4</v>
      </c>
      <c r="J28">
        <f>G28</f>
        <v>-6.449999928008765E-4</v>
      </c>
      <c r="O28">
        <f>+C$11+C$12*F28</f>
        <v>9.1193139892897564E-3</v>
      </c>
      <c r="Q28" s="2">
        <f>+C28-15018.5</f>
        <v>34000.94</v>
      </c>
      <c r="R28">
        <f t="shared" si="6"/>
        <v>9.5341827540850632E-5</v>
      </c>
    </row>
    <row r="29" spans="1:31">
      <c r="D29" s="6"/>
    </row>
    <row r="30" spans="1:31">
      <c r="D30" s="6"/>
    </row>
    <row r="31" spans="1:31">
      <c r="D31" s="6"/>
    </row>
    <row r="32" spans="1:31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2"/>
  <sheetViews>
    <sheetView topLeftCell="A6" workbookViewId="0">
      <selection activeCell="A21" sqref="A21:D26"/>
    </sheetView>
  </sheetViews>
  <sheetFormatPr defaultRowHeight="12.75"/>
  <cols>
    <col min="1" max="1" width="19.7109375" style="36" customWidth="1"/>
    <col min="2" max="2" width="4.42578125" style="21" customWidth="1"/>
    <col min="3" max="3" width="12.7109375" style="36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36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38" t="s">
        <v>56</v>
      </c>
      <c r="I1" s="39" t="s">
        <v>57</v>
      </c>
      <c r="J1" s="40" t="s">
        <v>58</v>
      </c>
    </row>
    <row r="2" spans="1:16">
      <c r="I2" s="41" t="s">
        <v>59</v>
      </c>
      <c r="J2" s="42" t="s">
        <v>60</v>
      </c>
    </row>
    <row r="3" spans="1:16">
      <c r="A3" s="43" t="s">
        <v>61</v>
      </c>
      <c r="I3" s="41" t="s">
        <v>62</v>
      </c>
      <c r="J3" s="42" t="s">
        <v>63</v>
      </c>
    </row>
    <row r="4" spans="1:16">
      <c r="I4" s="41" t="s">
        <v>64</v>
      </c>
      <c r="J4" s="42" t="s">
        <v>63</v>
      </c>
    </row>
    <row r="5" spans="1:16" ht="13.5" thickBot="1">
      <c r="I5" s="44" t="s">
        <v>65</v>
      </c>
      <c r="J5" s="45" t="s">
        <v>66</v>
      </c>
    </row>
    <row r="10" spans="1:16" ht="13.5" thickBot="1"/>
    <row r="11" spans="1:16" ht="12.75" customHeight="1" thickBot="1">
      <c r="A11" s="36" t="str">
        <f t="shared" ref="A11:A26" si="0">P11</f>
        <v> AN 250.79 </v>
      </c>
      <c r="B11" s="6" t="str">
        <f t="shared" ref="B11:B26" si="1">IF(H11=INT(H11),"I","II")</f>
        <v>I</v>
      </c>
      <c r="C11" s="36">
        <f t="shared" ref="C11:C26" si="2">1*G11</f>
        <v>26770.357</v>
      </c>
      <c r="D11" s="21" t="str">
        <f t="shared" ref="D11:D26" si="3">VLOOKUP(F11,I$1:J$5,2,FALSE)</f>
        <v>vis</v>
      </c>
      <c r="E11" s="46">
        <f>VLOOKUP(C11,Active!C$21:E$973,3,FALSE)</f>
        <v>0</v>
      </c>
      <c r="F11" s="6" t="s">
        <v>65</v>
      </c>
      <c r="G11" s="21" t="str">
        <f t="shared" ref="G11:G26" si="4">MID(I11,3,LEN(I11)-3)</f>
        <v>26770.357</v>
      </c>
      <c r="H11" s="36">
        <f t="shared" ref="H11:H26" si="5">1*K11</f>
        <v>-12695</v>
      </c>
      <c r="I11" s="47" t="s">
        <v>73</v>
      </c>
      <c r="J11" s="48" t="s">
        <v>74</v>
      </c>
      <c r="K11" s="47">
        <v>-12695</v>
      </c>
      <c r="L11" s="47" t="s">
        <v>75</v>
      </c>
      <c r="M11" s="48" t="s">
        <v>70</v>
      </c>
      <c r="N11" s="48"/>
      <c r="O11" s="49" t="s">
        <v>71</v>
      </c>
      <c r="P11" s="49" t="s">
        <v>72</v>
      </c>
    </row>
    <row r="12" spans="1:16" ht="12.75" customHeight="1" thickBot="1">
      <c r="A12" s="36" t="str">
        <f t="shared" si="0"/>
        <v> BBS 88 </v>
      </c>
      <c r="B12" s="6" t="str">
        <f t="shared" si="1"/>
        <v>I</v>
      </c>
      <c r="C12" s="36">
        <f t="shared" si="2"/>
        <v>47159.42</v>
      </c>
      <c r="D12" s="21" t="str">
        <f t="shared" si="3"/>
        <v>vis</v>
      </c>
      <c r="E12" s="46">
        <f>VLOOKUP(C12,Active!C$21:E$973,3,FALSE)</f>
        <v>9427.0080704260836</v>
      </c>
      <c r="F12" s="6" t="s">
        <v>65</v>
      </c>
      <c r="G12" s="21" t="str">
        <f t="shared" si="4"/>
        <v>47159.42</v>
      </c>
      <c r="H12" s="36">
        <f t="shared" si="5"/>
        <v>-3268</v>
      </c>
      <c r="I12" s="47" t="s">
        <v>81</v>
      </c>
      <c r="J12" s="48" t="s">
        <v>82</v>
      </c>
      <c r="K12" s="47">
        <v>-3268</v>
      </c>
      <c r="L12" s="47" t="s">
        <v>83</v>
      </c>
      <c r="M12" s="48" t="s">
        <v>84</v>
      </c>
      <c r="N12" s="48"/>
      <c r="O12" s="49" t="s">
        <v>85</v>
      </c>
      <c r="P12" s="49" t="s">
        <v>86</v>
      </c>
    </row>
    <row r="13" spans="1:16" ht="12.75" customHeight="1" thickBot="1">
      <c r="A13" s="36" t="str">
        <f t="shared" si="0"/>
        <v> BBS 88 </v>
      </c>
      <c r="B13" s="6" t="str">
        <f t="shared" si="1"/>
        <v>I</v>
      </c>
      <c r="C13" s="36">
        <f t="shared" si="2"/>
        <v>47213.49</v>
      </c>
      <c r="D13" s="21" t="str">
        <f t="shared" si="3"/>
        <v>vis</v>
      </c>
      <c r="E13" s="46">
        <f>VLOOKUP(C13,Active!C$21:E$973,3,FALSE)</f>
        <v>9452.0076658644793</v>
      </c>
      <c r="F13" s="6" t="s">
        <v>65</v>
      </c>
      <c r="G13" s="21" t="str">
        <f t="shared" si="4"/>
        <v>47213.49</v>
      </c>
      <c r="H13" s="36">
        <f t="shared" si="5"/>
        <v>-3243</v>
      </c>
      <c r="I13" s="47" t="s">
        <v>87</v>
      </c>
      <c r="J13" s="48" t="s">
        <v>88</v>
      </c>
      <c r="K13" s="47">
        <v>-3243</v>
      </c>
      <c r="L13" s="47" t="s">
        <v>83</v>
      </c>
      <c r="M13" s="48" t="s">
        <v>84</v>
      </c>
      <c r="N13" s="48"/>
      <c r="O13" s="49" t="s">
        <v>85</v>
      </c>
      <c r="P13" s="49" t="s">
        <v>86</v>
      </c>
    </row>
    <row r="14" spans="1:16" ht="12.75" customHeight="1" thickBot="1">
      <c r="A14" s="36" t="str">
        <f t="shared" si="0"/>
        <v> BBS 92 </v>
      </c>
      <c r="B14" s="6" t="str">
        <f t="shared" si="1"/>
        <v>I</v>
      </c>
      <c r="C14" s="36">
        <f t="shared" si="2"/>
        <v>47596.3</v>
      </c>
      <c r="D14" s="21" t="str">
        <f t="shared" si="3"/>
        <v>vis</v>
      </c>
      <c r="E14" s="46">
        <f>VLOOKUP(C14,Active!C$21:E$973,3,FALSE)</f>
        <v>9629.0022123740382</v>
      </c>
      <c r="F14" s="6" t="s">
        <v>65</v>
      </c>
      <c r="G14" s="21" t="str">
        <f t="shared" si="4"/>
        <v>47596.30</v>
      </c>
      <c r="H14" s="36">
        <f t="shared" si="5"/>
        <v>-3066</v>
      </c>
      <c r="I14" s="47" t="s">
        <v>89</v>
      </c>
      <c r="J14" s="48" t="s">
        <v>90</v>
      </c>
      <c r="K14" s="47">
        <v>-3066</v>
      </c>
      <c r="L14" s="47" t="s">
        <v>91</v>
      </c>
      <c r="M14" s="48" t="s">
        <v>84</v>
      </c>
      <c r="N14" s="48"/>
      <c r="O14" s="49" t="s">
        <v>85</v>
      </c>
      <c r="P14" s="49" t="s">
        <v>92</v>
      </c>
    </row>
    <row r="15" spans="1:16" ht="12.75" customHeight="1" thickBot="1">
      <c r="A15" s="36" t="str">
        <f t="shared" si="0"/>
        <v> BBS 97 </v>
      </c>
      <c r="B15" s="6" t="str">
        <f t="shared" si="1"/>
        <v>I</v>
      </c>
      <c r="C15" s="36">
        <f t="shared" si="2"/>
        <v>48314.37</v>
      </c>
      <c r="D15" s="21" t="str">
        <f t="shared" si="3"/>
        <v>vis</v>
      </c>
      <c r="E15" s="46">
        <f>VLOOKUP(C15,Active!C$21:E$973,3,FALSE)</f>
        <v>9961.0062718607769</v>
      </c>
      <c r="F15" s="6" t="s">
        <v>65</v>
      </c>
      <c r="G15" s="21" t="str">
        <f t="shared" si="4"/>
        <v>48314.37</v>
      </c>
      <c r="H15" s="36">
        <f t="shared" si="5"/>
        <v>-2734</v>
      </c>
      <c r="I15" s="47" t="s">
        <v>105</v>
      </c>
      <c r="J15" s="48" t="s">
        <v>106</v>
      </c>
      <c r="K15" s="47">
        <v>-2734</v>
      </c>
      <c r="L15" s="47" t="s">
        <v>107</v>
      </c>
      <c r="M15" s="48" t="s">
        <v>108</v>
      </c>
      <c r="N15" s="48" t="s">
        <v>109</v>
      </c>
      <c r="O15" s="49" t="s">
        <v>85</v>
      </c>
      <c r="P15" s="49" t="s">
        <v>110</v>
      </c>
    </row>
    <row r="16" spans="1:16" ht="12.75" customHeight="1" thickBot="1">
      <c r="A16" s="36" t="str">
        <f t="shared" si="0"/>
        <v> BBS 101 </v>
      </c>
      <c r="B16" s="6" t="str">
        <f t="shared" si="1"/>
        <v>I</v>
      </c>
      <c r="C16" s="36">
        <f t="shared" si="2"/>
        <v>48673.398999999998</v>
      </c>
      <c r="D16" s="21" t="str">
        <f t="shared" si="3"/>
        <v>vis</v>
      </c>
      <c r="E16" s="46">
        <f>VLOOKUP(C16,Active!C$21:E$973,3,FALSE)</f>
        <v>10127.005527467421</v>
      </c>
      <c r="F16" s="6" t="s">
        <v>65</v>
      </c>
      <c r="G16" s="21" t="str">
        <f t="shared" si="4"/>
        <v>48673.399</v>
      </c>
      <c r="H16" s="36">
        <f t="shared" si="5"/>
        <v>-2568</v>
      </c>
      <c r="I16" s="47" t="s">
        <v>111</v>
      </c>
      <c r="J16" s="48" t="s">
        <v>112</v>
      </c>
      <c r="K16" s="47">
        <v>-2568</v>
      </c>
      <c r="L16" s="47" t="s">
        <v>113</v>
      </c>
      <c r="M16" s="48" t="s">
        <v>108</v>
      </c>
      <c r="N16" s="48" t="s">
        <v>109</v>
      </c>
      <c r="O16" s="49" t="s">
        <v>85</v>
      </c>
      <c r="P16" s="49" t="s">
        <v>114</v>
      </c>
    </row>
    <row r="17" spans="1:16" ht="12.75" customHeight="1" thickBot="1">
      <c r="A17" s="36" t="str">
        <f t="shared" si="0"/>
        <v> BBS 103 </v>
      </c>
      <c r="B17" s="6" t="str">
        <f t="shared" si="1"/>
        <v>I</v>
      </c>
      <c r="C17" s="36">
        <f t="shared" si="2"/>
        <v>49019.44</v>
      </c>
      <c r="D17" s="21" t="str">
        <f t="shared" si="3"/>
        <v>vis</v>
      </c>
      <c r="E17" s="46">
        <f>VLOOKUP(C17,Active!C$21:E$973,3,FALSE)</f>
        <v>10286.999701780303</v>
      </c>
      <c r="F17" s="6" t="s">
        <v>65</v>
      </c>
      <c r="G17" s="21" t="str">
        <f t="shared" si="4"/>
        <v>49019.440</v>
      </c>
      <c r="H17" s="36">
        <f t="shared" si="5"/>
        <v>-2408</v>
      </c>
      <c r="I17" s="47" t="s">
        <v>115</v>
      </c>
      <c r="J17" s="48" t="s">
        <v>116</v>
      </c>
      <c r="K17" s="47">
        <v>-2408</v>
      </c>
      <c r="L17" s="47" t="s">
        <v>117</v>
      </c>
      <c r="M17" s="48" t="s">
        <v>108</v>
      </c>
      <c r="N17" s="48" t="s">
        <v>109</v>
      </c>
      <c r="O17" s="49" t="s">
        <v>85</v>
      </c>
      <c r="P17" s="49" t="s">
        <v>118</v>
      </c>
    </row>
    <row r="18" spans="1:16" ht="12.75" customHeight="1" thickBot="1">
      <c r="A18" s="36" t="str">
        <f t="shared" si="0"/>
        <v>IBVS 4888 </v>
      </c>
      <c r="B18" s="6" t="str">
        <f t="shared" si="1"/>
        <v>I</v>
      </c>
      <c r="C18" s="36">
        <f t="shared" si="2"/>
        <v>50864.332799999996</v>
      </c>
      <c r="D18" s="21" t="str">
        <f t="shared" si="3"/>
        <v>vis</v>
      </c>
      <c r="E18" s="46">
        <f>VLOOKUP(C18,Active!C$21:E$973,3,FALSE)</f>
        <v>11139.997179627664</v>
      </c>
      <c r="F18" s="6" t="s">
        <v>65</v>
      </c>
      <c r="G18" s="21" t="str">
        <f t="shared" si="4"/>
        <v>50864.3328</v>
      </c>
      <c r="H18" s="36">
        <f t="shared" si="5"/>
        <v>-1555</v>
      </c>
      <c r="I18" s="47" t="s">
        <v>119</v>
      </c>
      <c r="J18" s="48" t="s">
        <v>120</v>
      </c>
      <c r="K18" s="47">
        <v>-1555</v>
      </c>
      <c r="L18" s="47" t="s">
        <v>121</v>
      </c>
      <c r="M18" s="48" t="s">
        <v>108</v>
      </c>
      <c r="N18" s="48" t="s">
        <v>109</v>
      </c>
      <c r="O18" s="49" t="s">
        <v>122</v>
      </c>
      <c r="P18" s="50" t="s">
        <v>123</v>
      </c>
    </row>
    <row r="19" spans="1:16" ht="12.75" customHeight="1" thickBot="1">
      <c r="A19" s="36" t="str">
        <f t="shared" si="0"/>
        <v>IBVS 5653 </v>
      </c>
      <c r="B19" s="6" t="str">
        <f t="shared" si="1"/>
        <v>I</v>
      </c>
      <c r="C19" s="36">
        <f t="shared" si="2"/>
        <v>53351.561000000002</v>
      </c>
      <c r="D19" s="21" t="str">
        <f t="shared" si="3"/>
        <v>vis</v>
      </c>
      <c r="E19" s="46">
        <f>VLOOKUP(C19,Active!C$21:E$973,3,FALSE)</f>
        <v>12289.982361114002</v>
      </c>
      <c r="F19" s="6" t="s">
        <v>65</v>
      </c>
      <c r="G19" s="21" t="str">
        <f t="shared" si="4"/>
        <v>53351.561</v>
      </c>
      <c r="H19" s="36">
        <f t="shared" si="5"/>
        <v>-405</v>
      </c>
      <c r="I19" s="47" t="s">
        <v>129</v>
      </c>
      <c r="J19" s="48" t="s">
        <v>130</v>
      </c>
      <c r="K19" s="47">
        <v>-405</v>
      </c>
      <c r="L19" s="47" t="s">
        <v>131</v>
      </c>
      <c r="M19" s="48" t="s">
        <v>108</v>
      </c>
      <c r="N19" s="48" t="s">
        <v>109</v>
      </c>
      <c r="O19" s="49" t="s">
        <v>132</v>
      </c>
      <c r="P19" s="50" t="s">
        <v>133</v>
      </c>
    </row>
    <row r="20" spans="1:16" ht="12.75" customHeight="1" thickBot="1">
      <c r="A20" s="36" t="str">
        <f t="shared" si="0"/>
        <v> AN 250.79 </v>
      </c>
      <c r="B20" s="6" t="str">
        <f t="shared" si="1"/>
        <v>I</v>
      </c>
      <c r="C20" s="36">
        <f t="shared" si="2"/>
        <v>26692.498</v>
      </c>
      <c r="D20" s="21" t="str">
        <f t="shared" si="3"/>
        <v>vis</v>
      </c>
      <c r="E20" s="46" t="e">
        <f>VLOOKUP(C20,Active!C$21:E$973,3,FALSE)</f>
        <v>#N/A</v>
      </c>
      <c r="F20" s="6" t="s">
        <v>65</v>
      </c>
      <c r="G20" s="21" t="str">
        <f t="shared" si="4"/>
        <v>26692.498</v>
      </c>
      <c r="H20" s="36">
        <f t="shared" si="5"/>
        <v>-12731</v>
      </c>
      <c r="I20" s="47" t="s">
        <v>67</v>
      </c>
      <c r="J20" s="48" t="s">
        <v>68</v>
      </c>
      <c r="K20" s="47">
        <v>-12731</v>
      </c>
      <c r="L20" s="47" t="s">
        <v>69</v>
      </c>
      <c r="M20" s="48" t="s">
        <v>70</v>
      </c>
      <c r="N20" s="48"/>
      <c r="O20" s="49" t="s">
        <v>71</v>
      </c>
      <c r="P20" s="49" t="s">
        <v>72</v>
      </c>
    </row>
    <row r="21" spans="1:16" ht="12.75" customHeight="1" thickBot="1">
      <c r="A21" s="36" t="str">
        <f t="shared" si="0"/>
        <v> BBS 95 </v>
      </c>
      <c r="B21" s="6" t="str">
        <f t="shared" si="1"/>
        <v>I</v>
      </c>
      <c r="C21" s="36">
        <f t="shared" si="2"/>
        <v>27460.32</v>
      </c>
      <c r="D21" s="21" t="str">
        <f t="shared" si="3"/>
        <v>vis</v>
      </c>
      <c r="E21" s="46">
        <f>VLOOKUP(C21,Active!C$21:E$973,3,FALSE)</f>
        <v>319.00861600630645</v>
      </c>
      <c r="F21" s="6" t="s">
        <v>65</v>
      </c>
      <c r="G21" s="21" t="str">
        <f t="shared" si="4"/>
        <v>27460.32</v>
      </c>
      <c r="H21" s="36">
        <f t="shared" si="5"/>
        <v>-12376</v>
      </c>
      <c r="I21" s="47" t="s">
        <v>76</v>
      </c>
      <c r="J21" s="48" t="s">
        <v>77</v>
      </c>
      <c r="K21" s="47">
        <v>-12376</v>
      </c>
      <c r="L21" s="47" t="s">
        <v>78</v>
      </c>
      <c r="M21" s="48" t="s">
        <v>70</v>
      </c>
      <c r="N21" s="48"/>
      <c r="O21" s="49" t="s">
        <v>79</v>
      </c>
      <c r="P21" s="49" t="s">
        <v>80</v>
      </c>
    </row>
    <row r="22" spans="1:16" ht="12.75" customHeight="1" thickBot="1">
      <c r="A22" s="36" t="str">
        <f t="shared" si="0"/>
        <v> BBS 95 </v>
      </c>
      <c r="B22" s="6" t="str">
        <f t="shared" si="1"/>
        <v>I</v>
      </c>
      <c r="C22" s="36">
        <f t="shared" si="2"/>
        <v>47825.55</v>
      </c>
      <c r="D22" s="21" t="str">
        <f t="shared" si="3"/>
        <v>vis</v>
      </c>
      <c r="E22" s="46">
        <f>VLOOKUP(C22,Active!C$21:E$973,3,FALSE)</f>
        <v>9734.9973530112111</v>
      </c>
      <c r="F22" s="6" t="s">
        <v>65</v>
      </c>
      <c r="G22" s="21" t="str">
        <f t="shared" si="4"/>
        <v>47825.55</v>
      </c>
      <c r="H22" s="36">
        <f t="shared" si="5"/>
        <v>-2960</v>
      </c>
      <c r="I22" s="47" t="s">
        <v>93</v>
      </c>
      <c r="J22" s="48" t="s">
        <v>94</v>
      </c>
      <c r="K22" s="47">
        <v>-2960</v>
      </c>
      <c r="L22" s="47" t="s">
        <v>95</v>
      </c>
      <c r="M22" s="48" t="s">
        <v>84</v>
      </c>
      <c r="N22" s="48"/>
      <c r="O22" s="49" t="s">
        <v>96</v>
      </c>
      <c r="P22" s="49" t="s">
        <v>80</v>
      </c>
    </row>
    <row r="23" spans="1:16" ht="12.75" customHeight="1" thickBot="1">
      <c r="A23" s="36" t="str">
        <f t="shared" si="0"/>
        <v> BBS 95 </v>
      </c>
      <c r="B23" s="6" t="str">
        <f t="shared" si="1"/>
        <v>I</v>
      </c>
      <c r="C23" s="36">
        <f t="shared" si="2"/>
        <v>47918.55</v>
      </c>
      <c r="D23" s="21" t="str">
        <f t="shared" si="3"/>
        <v>vis</v>
      </c>
      <c r="E23" s="46">
        <f>VLOOKUP(C23,Active!C$21:E$973,3,FALSE)</f>
        <v>9777.9964722228015</v>
      </c>
      <c r="F23" s="6" t="s">
        <v>65</v>
      </c>
      <c r="G23" s="21" t="str">
        <f t="shared" si="4"/>
        <v>47918.55</v>
      </c>
      <c r="H23" s="36">
        <f t="shared" si="5"/>
        <v>-2917</v>
      </c>
      <c r="I23" s="47" t="s">
        <v>97</v>
      </c>
      <c r="J23" s="48" t="s">
        <v>98</v>
      </c>
      <c r="K23" s="47">
        <v>-2917</v>
      </c>
      <c r="L23" s="47" t="s">
        <v>95</v>
      </c>
      <c r="M23" s="48" t="s">
        <v>84</v>
      </c>
      <c r="N23" s="48"/>
      <c r="O23" s="49" t="s">
        <v>96</v>
      </c>
      <c r="P23" s="49" t="s">
        <v>80</v>
      </c>
    </row>
    <row r="24" spans="1:16" ht="12.75" customHeight="1" thickBot="1">
      <c r="A24" s="36" t="str">
        <f t="shared" si="0"/>
        <v> BBS 95 </v>
      </c>
      <c r="B24" s="6" t="str">
        <f t="shared" si="1"/>
        <v>I</v>
      </c>
      <c r="C24" s="36">
        <f t="shared" si="2"/>
        <v>47968.302000000003</v>
      </c>
      <c r="D24" s="21" t="str">
        <f t="shared" si="3"/>
        <v>vis</v>
      </c>
      <c r="E24" s="46">
        <f>VLOOKUP(C24,Active!C$21:E$973,3,FALSE)</f>
        <v>9800.9996139326413</v>
      </c>
      <c r="F24" s="6" t="s">
        <v>65</v>
      </c>
      <c r="G24" s="21" t="str">
        <f t="shared" si="4"/>
        <v>47968.302</v>
      </c>
      <c r="H24" s="36">
        <f t="shared" si="5"/>
        <v>-2894</v>
      </c>
      <c r="I24" s="47" t="s">
        <v>99</v>
      </c>
      <c r="J24" s="48" t="s">
        <v>100</v>
      </c>
      <c r="K24" s="47">
        <v>-2894</v>
      </c>
      <c r="L24" s="47" t="s">
        <v>101</v>
      </c>
      <c r="M24" s="48" t="s">
        <v>84</v>
      </c>
      <c r="N24" s="48"/>
      <c r="O24" s="49" t="s">
        <v>96</v>
      </c>
      <c r="P24" s="49" t="s">
        <v>80</v>
      </c>
    </row>
    <row r="25" spans="1:16" ht="12.75" customHeight="1" thickBot="1">
      <c r="A25" s="36" t="str">
        <f t="shared" si="0"/>
        <v> BBS 95 </v>
      </c>
      <c r="B25" s="6" t="str">
        <f t="shared" si="1"/>
        <v>I</v>
      </c>
      <c r="C25" s="36">
        <f t="shared" si="2"/>
        <v>47970.466</v>
      </c>
      <c r="D25" s="21" t="str">
        <f t="shared" si="3"/>
        <v>vis</v>
      </c>
      <c r="E25" s="46">
        <f>VLOOKUP(C25,Active!C$21:E$973,3,FALSE)</f>
        <v>9802.0001525775206</v>
      </c>
      <c r="F25" s="6" t="s">
        <v>65</v>
      </c>
      <c r="G25" s="21" t="str">
        <f t="shared" si="4"/>
        <v>47970.466</v>
      </c>
      <c r="H25" s="36">
        <f t="shared" si="5"/>
        <v>-2893</v>
      </c>
      <c r="I25" s="47" t="s">
        <v>102</v>
      </c>
      <c r="J25" s="48" t="s">
        <v>103</v>
      </c>
      <c r="K25" s="47">
        <v>-2893</v>
      </c>
      <c r="L25" s="47" t="s">
        <v>104</v>
      </c>
      <c r="M25" s="48" t="s">
        <v>84</v>
      </c>
      <c r="N25" s="48"/>
      <c r="O25" s="49" t="s">
        <v>96</v>
      </c>
      <c r="P25" s="49" t="s">
        <v>80</v>
      </c>
    </row>
    <row r="26" spans="1:16" ht="12.75" customHeight="1" thickBot="1">
      <c r="A26" s="36" t="str">
        <f t="shared" si="0"/>
        <v> BRNO 32 </v>
      </c>
      <c r="B26" s="6" t="str">
        <f t="shared" si="1"/>
        <v>I</v>
      </c>
      <c r="C26" s="36">
        <f t="shared" si="2"/>
        <v>50864.349499999997</v>
      </c>
      <c r="D26" s="21" t="str">
        <f t="shared" si="3"/>
        <v>vis</v>
      </c>
      <c r="E26" s="46">
        <f>VLOOKUP(C26,Active!C$21:E$973,3,FALSE)</f>
        <v>11140.004900974876</v>
      </c>
      <c r="F26" s="6" t="s">
        <v>65</v>
      </c>
      <c r="G26" s="21" t="str">
        <f t="shared" si="4"/>
        <v>50864.3495</v>
      </c>
      <c r="H26" s="36">
        <f t="shared" si="5"/>
        <v>-1555</v>
      </c>
      <c r="I26" s="47" t="s">
        <v>124</v>
      </c>
      <c r="J26" s="48" t="s">
        <v>125</v>
      </c>
      <c r="K26" s="47">
        <v>-1555</v>
      </c>
      <c r="L26" s="47" t="s">
        <v>126</v>
      </c>
      <c r="M26" s="48" t="s">
        <v>84</v>
      </c>
      <c r="N26" s="48"/>
      <c r="O26" s="49" t="s">
        <v>127</v>
      </c>
      <c r="P26" s="49" t="s">
        <v>128</v>
      </c>
    </row>
    <row r="27" spans="1:16">
      <c r="B27" s="6"/>
      <c r="F27" s="6"/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</sheetData>
  <phoneticPr fontId="7" type="noConversion"/>
  <hyperlinks>
    <hyperlink ref="P18" r:id="rId1" display="http://www.konkoly.hu/cgi-bin/IBVS?4888"/>
    <hyperlink ref="P19" r:id="rId2" display="http://www.konkoly.hu/cgi-bin/IBVS?565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2024-01-27T06:29:11Z</dcterms:modified>
</cp:coreProperties>
</file>