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724954F-7910-4B28-8711-FC03F3F24D1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61" i="1" l="1"/>
  <c r="C13" i="1"/>
  <c r="Q60" i="1"/>
  <c r="D14" i="1"/>
  <c r="D13" i="1"/>
  <c r="C14" i="1"/>
  <c r="F12" i="1"/>
  <c r="F13" i="1" s="1"/>
  <c r="Q31" i="1"/>
  <c r="Q29" i="1"/>
  <c r="Q28" i="1"/>
  <c r="Q27" i="1"/>
  <c r="Q26" i="1"/>
  <c r="Q25" i="1"/>
  <c r="Q24" i="1"/>
  <c r="Q23" i="1"/>
  <c r="Q22" i="1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48" i="2"/>
  <c r="C48" i="2"/>
  <c r="E48" i="2"/>
  <c r="G23" i="2"/>
  <c r="C23" i="2"/>
  <c r="G47" i="2"/>
  <c r="C47" i="2"/>
  <c r="E47" i="2"/>
  <c r="G46" i="2"/>
  <c r="C46" i="2"/>
  <c r="E46" i="2"/>
  <c r="G45" i="2"/>
  <c r="C45" i="2"/>
  <c r="E45" i="2"/>
  <c r="G44" i="2"/>
  <c r="C44" i="2"/>
  <c r="E44" i="2"/>
  <c r="G22" i="2"/>
  <c r="C22" i="2"/>
  <c r="G43" i="2"/>
  <c r="C43" i="2"/>
  <c r="E43" i="2"/>
  <c r="G42" i="2"/>
  <c r="C42" i="2"/>
  <c r="E4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41" i="2"/>
  <c r="C41" i="2"/>
  <c r="G11" i="2"/>
  <c r="C1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48" i="2"/>
  <c r="B48" i="2"/>
  <c r="D48" i="2"/>
  <c r="A48" i="2"/>
  <c r="H23" i="2"/>
  <c r="D23" i="2"/>
  <c r="B23" i="2"/>
  <c r="A23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22" i="2"/>
  <c r="B22" i="2"/>
  <c r="D22" i="2"/>
  <c r="A22" i="2"/>
  <c r="H43" i="2"/>
  <c r="D43" i="2"/>
  <c r="B43" i="2"/>
  <c r="A43" i="2"/>
  <c r="H42" i="2"/>
  <c r="B42" i="2"/>
  <c r="D42" i="2"/>
  <c r="A4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41" i="2"/>
  <c r="D41" i="2"/>
  <c r="B41" i="2"/>
  <c r="A41" i="2"/>
  <c r="H11" i="2"/>
  <c r="B11" i="2"/>
  <c r="D11" i="2"/>
  <c r="A1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Q59" i="1"/>
  <c r="Q58" i="1"/>
  <c r="Q56" i="1"/>
  <c r="Q57" i="1"/>
  <c r="Q33" i="1"/>
  <c r="Q52" i="1"/>
  <c r="Q54" i="1"/>
  <c r="Q55" i="1"/>
  <c r="Q53" i="1"/>
  <c r="Q51" i="1"/>
  <c r="C7" i="1"/>
  <c r="E61" i="1"/>
  <c r="F61" i="1"/>
  <c r="Q50" i="1"/>
  <c r="Q30" i="1"/>
  <c r="Q32" i="1"/>
  <c r="Q34" i="1"/>
  <c r="Q39" i="1"/>
  <c r="Q35" i="1"/>
  <c r="Q36" i="1"/>
  <c r="Q37" i="1"/>
  <c r="Q38" i="1"/>
  <c r="Q40" i="1"/>
  <c r="Q41" i="1"/>
  <c r="Q44" i="1"/>
  <c r="Q49" i="1"/>
  <c r="Q42" i="1"/>
  <c r="Q43" i="1"/>
  <c r="Q45" i="1"/>
  <c r="Q46" i="1"/>
  <c r="Q47" i="1"/>
  <c r="Q48" i="1"/>
  <c r="C17" i="1"/>
  <c r="Q21" i="1"/>
  <c r="E12" i="2"/>
  <c r="E14" i="2"/>
  <c r="E34" i="2"/>
  <c r="E28" i="2"/>
  <c r="E29" i="2"/>
  <c r="E41" i="2"/>
  <c r="E22" i="2"/>
  <c r="E13" i="2"/>
  <c r="G39" i="1"/>
  <c r="H39" i="1"/>
  <c r="G30" i="1"/>
  <c r="E31" i="1"/>
  <c r="F31" i="1"/>
  <c r="E28" i="1"/>
  <c r="F28" i="1"/>
  <c r="E24" i="1"/>
  <c r="F24" i="1"/>
  <c r="G24" i="1"/>
  <c r="E22" i="1"/>
  <c r="F22" i="1"/>
  <c r="E56" i="1"/>
  <c r="F56" i="1"/>
  <c r="E50" i="1"/>
  <c r="F50" i="1"/>
  <c r="E40" i="1"/>
  <c r="F40" i="1"/>
  <c r="G40" i="1"/>
  <c r="G43" i="1"/>
  <c r="G35" i="1"/>
  <c r="G60" i="1"/>
  <c r="G44" i="1"/>
  <c r="E30" i="1"/>
  <c r="F30" i="1"/>
  <c r="E25" i="1"/>
  <c r="F25" i="1"/>
  <c r="G25" i="1"/>
  <c r="G23" i="1"/>
  <c r="E54" i="1"/>
  <c r="F54" i="1"/>
  <c r="G54" i="1"/>
  <c r="E49" i="1"/>
  <c r="F49" i="1"/>
  <c r="E39" i="1"/>
  <c r="F39" i="1"/>
  <c r="E58" i="1"/>
  <c r="F58" i="1"/>
  <c r="G58" i="1"/>
  <c r="E52" i="1"/>
  <c r="F52" i="1"/>
  <c r="G52" i="1"/>
  <c r="E47" i="1"/>
  <c r="F47" i="1"/>
  <c r="G47" i="1"/>
  <c r="E43" i="1"/>
  <c r="F43" i="1"/>
  <c r="E41" i="1"/>
  <c r="F41" i="1"/>
  <c r="G41" i="1"/>
  <c r="E37" i="1"/>
  <c r="F37" i="1"/>
  <c r="G37" i="1"/>
  <c r="E35" i="1"/>
  <c r="F35" i="1"/>
  <c r="E60" i="1"/>
  <c r="F60" i="1"/>
  <c r="E21" i="1"/>
  <c r="F21" i="1"/>
  <c r="G21" i="1"/>
  <c r="H21" i="1"/>
  <c r="G56" i="1"/>
  <c r="G50" i="1"/>
  <c r="E29" i="1"/>
  <c r="F29" i="1"/>
  <c r="G29" i="1"/>
  <c r="E26" i="1"/>
  <c r="F26" i="1"/>
  <c r="G26" i="1"/>
  <c r="E23" i="1"/>
  <c r="F23" i="1"/>
  <c r="E59" i="1"/>
  <c r="F59" i="1"/>
  <c r="G59" i="1"/>
  <c r="E53" i="1"/>
  <c r="F53" i="1"/>
  <c r="G53" i="1"/>
  <c r="E45" i="1"/>
  <c r="F45" i="1"/>
  <c r="G45" i="1"/>
  <c r="E34" i="1"/>
  <c r="F34" i="1"/>
  <c r="G46" i="1"/>
  <c r="G32" i="1"/>
  <c r="G61" i="1"/>
  <c r="G49" i="1"/>
  <c r="G34" i="1"/>
  <c r="E27" i="1"/>
  <c r="F27" i="1"/>
  <c r="G27" i="1"/>
  <c r="G31" i="1"/>
  <c r="G28" i="1"/>
  <c r="G22" i="1"/>
  <c r="E57" i="1"/>
  <c r="F57" i="1"/>
  <c r="G57" i="1"/>
  <c r="E51" i="1"/>
  <c r="F51" i="1"/>
  <c r="G51" i="1"/>
  <c r="E44" i="1"/>
  <c r="F44" i="1"/>
  <c r="E33" i="1"/>
  <c r="F33" i="1"/>
  <c r="G33" i="1"/>
  <c r="E55" i="1"/>
  <c r="F55" i="1"/>
  <c r="G55" i="1"/>
  <c r="E48" i="1"/>
  <c r="F48" i="1"/>
  <c r="G48" i="1"/>
  <c r="E46" i="1"/>
  <c r="F46" i="1"/>
  <c r="E42" i="1"/>
  <c r="F42" i="1"/>
  <c r="G42" i="1"/>
  <c r="E38" i="1"/>
  <c r="F38" i="1"/>
  <c r="G38" i="1"/>
  <c r="E36" i="1"/>
  <c r="F36" i="1"/>
  <c r="G36" i="1"/>
  <c r="E32" i="1"/>
  <c r="F32" i="1"/>
  <c r="R38" i="1"/>
  <c r="J38" i="1"/>
  <c r="I25" i="1"/>
  <c r="R25" i="1"/>
  <c r="J36" i="1"/>
  <c r="R36" i="1"/>
  <c r="R42" i="1"/>
  <c r="J42" i="1"/>
  <c r="J47" i="1"/>
  <c r="R47" i="1"/>
  <c r="H41" i="1"/>
  <c r="R41" i="1"/>
  <c r="H52" i="1"/>
  <c r="R52" i="1"/>
  <c r="S24" i="1"/>
  <c r="I24" i="1"/>
  <c r="I29" i="1"/>
  <c r="S29" i="1"/>
  <c r="R58" i="1"/>
  <c r="J58" i="1"/>
  <c r="S51" i="1"/>
  <c r="H51" i="1"/>
  <c r="H57" i="1"/>
  <c r="S57" i="1"/>
  <c r="S45" i="1"/>
  <c r="J45" i="1"/>
  <c r="R55" i="1"/>
  <c r="H55" i="1"/>
  <c r="I27" i="1"/>
  <c r="R27" i="1"/>
  <c r="S53" i="1"/>
  <c r="H53" i="1"/>
  <c r="S33" i="1"/>
  <c r="H33" i="1"/>
  <c r="S59" i="1"/>
  <c r="J59" i="1"/>
  <c r="S26" i="1"/>
  <c r="I26" i="1"/>
  <c r="R48" i="1"/>
  <c r="J48" i="1"/>
  <c r="J37" i="1"/>
  <c r="R37" i="1"/>
  <c r="H54" i="1"/>
  <c r="S54" i="1"/>
  <c r="S40" i="1"/>
  <c r="H40" i="1"/>
  <c r="E38" i="2"/>
  <c r="S22" i="1"/>
  <c r="I22" i="1"/>
  <c r="I23" i="1"/>
  <c r="S23" i="1"/>
  <c r="E23" i="2"/>
  <c r="E24" i="2"/>
  <c r="J61" i="1"/>
  <c r="S61" i="1"/>
  <c r="E17" i="2"/>
  <c r="E16" i="2"/>
  <c r="E33" i="2"/>
  <c r="S60" i="1"/>
  <c r="J60" i="1"/>
  <c r="I30" i="1"/>
  <c r="R30" i="1"/>
  <c r="E32" i="2"/>
  <c r="E40" i="2"/>
  <c r="S31" i="1"/>
  <c r="I31" i="1"/>
  <c r="J56" i="1"/>
  <c r="S56" i="1"/>
  <c r="J35" i="1"/>
  <c r="R35" i="1"/>
  <c r="E36" i="2"/>
  <c r="E26" i="2"/>
  <c r="E37" i="2"/>
  <c r="E11" i="2"/>
  <c r="E20" i="2"/>
  <c r="E25" i="2"/>
  <c r="E35" i="2"/>
  <c r="E19" i="2"/>
  <c r="E21" i="2"/>
  <c r="S34" i="1"/>
  <c r="I34" i="1"/>
  <c r="J46" i="1"/>
  <c r="R46" i="1"/>
  <c r="S44" i="1"/>
  <c r="H44" i="1"/>
  <c r="J43" i="1"/>
  <c r="R43" i="1"/>
  <c r="E31" i="2"/>
  <c r="E18" i="2"/>
  <c r="E39" i="2"/>
  <c r="S28" i="1"/>
  <c r="I28" i="1"/>
  <c r="E27" i="2"/>
  <c r="R32" i="1"/>
  <c r="I32" i="1"/>
  <c r="S50" i="1"/>
  <c r="J50" i="1"/>
  <c r="S49" i="1"/>
  <c r="H49" i="1"/>
  <c r="E30" i="2"/>
  <c r="E15" i="2"/>
  <c r="S19" i="1"/>
  <c r="E19" i="1"/>
  <c r="R19" i="1"/>
  <c r="E18" i="1"/>
  <c r="C12" i="1"/>
  <c r="C11" i="1"/>
  <c r="D12" i="1"/>
  <c r="D11" i="1"/>
  <c r="P30" i="1" l="1"/>
  <c r="P47" i="1"/>
  <c r="P31" i="1"/>
  <c r="P53" i="1"/>
  <c r="P51" i="1"/>
  <c r="P27" i="1"/>
  <c r="P59" i="1"/>
  <c r="P28" i="1"/>
  <c r="P32" i="1"/>
  <c r="P57" i="1"/>
  <c r="P56" i="1"/>
  <c r="P26" i="1"/>
  <c r="P52" i="1"/>
  <c r="P23" i="1"/>
  <c r="P50" i="1"/>
  <c r="P34" i="1"/>
  <c r="P25" i="1"/>
  <c r="P35" i="1"/>
  <c r="P39" i="1"/>
  <c r="P46" i="1"/>
  <c r="P37" i="1"/>
  <c r="P60" i="1"/>
  <c r="P24" i="1"/>
  <c r="P36" i="1"/>
  <c r="P55" i="1"/>
  <c r="P61" i="1"/>
  <c r="P22" i="1"/>
  <c r="P38" i="1"/>
  <c r="P43" i="1"/>
  <c r="P58" i="1"/>
  <c r="P40" i="1"/>
  <c r="D15" i="1"/>
  <c r="C19" i="1" s="1"/>
  <c r="P44" i="1"/>
  <c r="P33" i="1"/>
  <c r="P41" i="1"/>
  <c r="P45" i="1"/>
  <c r="P29" i="1"/>
  <c r="P42" i="1"/>
  <c r="P54" i="1"/>
  <c r="P48" i="1"/>
  <c r="P49" i="1"/>
  <c r="P21" i="1"/>
  <c r="D16" i="1"/>
  <c r="D19" i="1" s="1"/>
  <c r="O59" i="1"/>
  <c r="O49" i="1"/>
  <c r="O26" i="1"/>
  <c r="O34" i="1"/>
  <c r="O35" i="1"/>
  <c r="O43" i="1"/>
  <c r="O24" i="1"/>
  <c r="O37" i="1"/>
  <c r="O44" i="1"/>
  <c r="O29" i="1"/>
  <c r="O46" i="1"/>
  <c r="O40" i="1"/>
  <c r="O47" i="1"/>
  <c r="O33" i="1"/>
  <c r="O56" i="1"/>
  <c r="O50" i="1"/>
  <c r="O22" i="1"/>
  <c r="O53" i="1"/>
  <c r="O30" i="1"/>
  <c r="O27" i="1"/>
  <c r="O32" i="1"/>
  <c r="O48" i="1"/>
  <c r="O57" i="1"/>
  <c r="O42" i="1"/>
  <c r="C15" i="1"/>
  <c r="O39" i="1"/>
  <c r="O52" i="1"/>
  <c r="O60" i="1"/>
  <c r="O45" i="1"/>
  <c r="O23" i="1"/>
  <c r="O55" i="1"/>
  <c r="O25" i="1"/>
  <c r="O36" i="1"/>
  <c r="O61" i="1"/>
  <c r="O28" i="1"/>
  <c r="O54" i="1"/>
  <c r="O38" i="1"/>
  <c r="O31" i="1"/>
  <c r="O58" i="1"/>
  <c r="O21" i="1"/>
  <c r="O41" i="1"/>
  <c r="O51" i="1"/>
  <c r="C16" i="1"/>
  <c r="D18" i="1" s="1"/>
  <c r="F14" i="1" l="1"/>
  <c r="F15" i="1" s="1"/>
  <c r="C18" i="1"/>
</calcChain>
</file>

<file path=xl/sharedStrings.xml><?xml version="1.0" encoding="utf-8"?>
<sst xmlns="http://schemas.openxmlformats.org/spreadsheetml/2006/main" count="448" uniqueCount="216">
  <si>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</si>
  <si>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</si>
  <si>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</si>
  <si>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</si>
  <si>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</si>
  <si>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</si>
  <si>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</si>
  <si>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</si>
  <si>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</si>
  <si>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</si>
  <si>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</si>
  <si>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</si>
  <si>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</si>
  <si>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</si>
  <si>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</si>
  <si>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</si>
  <si>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</si>
  <si>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</si>
  <si>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</si>
  <si>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</si>
  <si>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</si>
  <si>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</si>
  <si>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</si>
  <si>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</si>
  <si>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</si>
  <si>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</si>
  <si>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</si>
  <si>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</si>
  <si>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</si>
  <si>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IBVS 4472</t>
  </si>
  <si>
    <t>I</t>
  </si>
  <si>
    <t/>
  </si>
  <si>
    <t>IBVS 5690</t>
  </si>
  <si>
    <t>II</t>
  </si>
  <si>
    <t>IBVS 5741</t>
  </si>
  <si>
    <t>IBVS 5760</t>
  </si>
  <si>
    <t>OEJV 0074</t>
  </si>
  <si>
    <t>IBVS 5897</t>
  </si>
  <si>
    <t>OEJV 0094</t>
  </si>
  <si>
    <t>AV CMi / GSC 0770-00121</t>
  </si>
  <si>
    <t>EA</t>
  </si>
  <si>
    <t>not avail.</t>
  </si>
  <si>
    <t>OEJV 0107</t>
  </si>
  <si>
    <t>IBVS 5945</t>
  </si>
  <si>
    <t>IBVS 5990</t>
  </si>
  <si>
    <t>IBVS 5992</t>
  </si>
  <si>
    <t>IBVS 6011</t>
  </si>
  <si>
    <t>IBVS 6029</t>
  </si>
  <si>
    <t>OEJV 0160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</si>
  <si>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</si>
  <si>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</si>
  <si>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</si>
  <si>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</si>
  <si>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</si>
  <si>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</si>
  <si>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</si>
  <si>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</si>
  <si>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</si>
  <si>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</si>
  <si>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</si>
  <si>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</si>
  <si>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2430463.37 </t>
  </si>
  <si>
    <t> 13.04.1942 20:52 </t>
  </si>
  <si>
    <t> 0.29 </t>
  </si>
  <si>
    <t>P </t>
  </si>
  <si>
    <t> C.Hoffmeister </t>
  </si>
  <si>
    <t> AN 290.279 </t>
  </si>
  <si>
    <t>2438378.60 </t>
  </si>
  <si>
    <t> 15.12.1963 02:24 </t>
  </si>
  <si>
    <t> 0.32 </t>
  </si>
  <si>
    <t> H.Gessner </t>
  </si>
  <si>
    <t> VSS 7.600 </t>
  </si>
  <si>
    <t>2438385.42 </t>
  </si>
  <si>
    <t> 21.12.1963 22:04 </t>
  </si>
  <si>
    <t> 0.30 </t>
  </si>
  <si>
    <t>2438386.52 </t>
  </si>
  <si>
    <t> 23.12.1963 00:28 </t>
  </si>
  <si>
    <t> 0.10 </t>
  </si>
  <si>
    <t>2438410.47 </t>
  </si>
  <si>
    <t> 15.01.1964 23:16 </t>
  </si>
  <si>
    <t>2438739.53 </t>
  </si>
  <si>
    <t> 10.12.1964 00:43 </t>
  </si>
  <si>
    <t> 0.06 </t>
  </si>
  <si>
    <t>2439533.47 </t>
  </si>
  <si>
    <t> 11.02.1967 23:16 </t>
  </si>
  <si>
    <t> 0.36 </t>
  </si>
  <si>
    <t>2439918.37 </t>
  </si>
  <si>
    <t> 02.03.1968 20:52 </t>
  </si>
  <si>
    <t>2450152.3325 </t>
  </si>
  <si>
    <t> 09.03.1996 19:58 </t>
  </si>
  <si>
    <t> 0.3220 </t>
  </si>
  <si>
    <t>E </t>
  </si>
  <si>
    <t>o</t>
  </si>
  <si>
    <t> W.Kleikamp </t>
  </si>
  <si>
    <t>BAVM 99 </t>
  </si>
  <si>
    <t>2451956.310 </t>
  </si>
  <si>
    <t> 15.02.2001 19:26 </t>
  </si>
  <si>
    <t> 0.316 </t>
  </si>
  <si>
    <t>?</t>
  </si>
  <si>
    <t> R.Diethelm </t>
  </si>
  <si>
    <t> BBS 124 </t>
  </si>
  <si>
    <t>2453354.8487 </t>
  </si>
  <si>
    <t> 15.12.2004 08:22 </t>
  </si>
  <si>
    <t> 0.3118 </t>
  </si>
  <si>
    <t> T.Krajci </t>
  </si>
  <si>
    <t>IBVS 5690 </t>
  </si>
  <si>
    <t>2453364.9467 </t>
  </si>
  <si>
    <t> 25.12.2004 10:43 </t>
  </si>
  <si>
    <t> 0.0000 </t>
  </si>
  <si>
    <t>2453410.5008 </t>
  </si>
  <si>
    <t> 09.02.2005 00:01 </t>
  </si>
  <si>
    <t> -0.0010 </t>
  </si>
  <si>
    <t> M.Zejda et al. </t>
  </si>
  <si>
    <t>IBVS 5741 </t>
  </si>
  <si>
    <t>2453794.45643 </t>
  </si>
  <si>
    <t> 27.02.2006 22:57 </t>
  </si>
  <si>
    <t> 0.31244 </t>
  </si>
  <si>
    <t>C </t>
  </si>
  <si>
    <t>B</t>
  </si>
  <si>
    <t> P.Svoboda </t>
  </si>
  <si>
    <t>OEJV 0074 </t>
  </si>
  <si>
    <t>2453794.45712 </t>
  </si>
  <si>
    <t> 27.02.2006 22:58 </t>
  </si>
  <si>
    <t> 0.31313 </t>
  </si>
  <si>
    <t>R</t>
  </si>
  <si>
    <t>2453794.45782 </t>
  </si>
  <si>
    <t> 27.02.2006 22:59 </t>
  </si>
  <si>
    <t> 0.31383 </t>
  </si>
  <si>
    <t>2454093.9819 </t>
  </si>
  <si>
    <t> 24.12.2006 11:33 </t>
  </si>
  <si>
    <t> 0.1530 </t>
  </si>
  <si>
    <t> R.Nelson </t>
  </si>
  <si>
    <t>IBVS 5760 </t>
  </si>
  <si>
    <t>2454107.4977 </t>
  </si>
  <si>
    <t> 06.01.2007 23:56 </t>
  </si>
  <si>
    <t> 0.0022 </t>
  </si>
  <si>
    <t> A.Liakos &amp; P.Niarchos </t>
  </si>
  <si>
    <t>IBVS 5897 </t>
  </si>
  <si>
    <t>2454475.5015 </t>
  </si>
  <si>
    <t> 10.01.2008 00:02 </t>
  </si>
  <si>
    <t> 0.3082 </t>
  </si>
  <si>
    <t>m</t>
  </si>
  <si>
    <t>2454491.4450 </t>
  </si>
  <si>
    <t> 25.01.2008 22:40 </t>
  </si>
  <si>
    <t> 0.3074 </t>
  </si>
  <si>
    <t> L.Šmelcer </t>
  </si>
  <si>
    <t>OEJV 0094 </t>
  </si>
  <si>
    <t>2454491.4464 </t>
  </si>
  <si>
    <t> 25.01.2008 22:42 </t>
  </si>
  <si>
    <t> 0.3088 </t>
  </si>
  <si>
    <t>2454492.4357 </t>
  </si>
  <si>
    <t> 26.01.2008 22:27 </t>
  </si>
  <si>
    <t> -0.0007 </t>
  </si>
  <si>
    <t>2454508.3815 </t>
  </si>
  <si>
    <t> 11.02.2008 21:09 </t>
  </si>
  <si>
    <t> 0.0008 </t>
  </si>
  <si>
    <t>2454523.3349 </t>
  </si>
  <si>
    <t> 26.02.2008 20:02 </t>
  </si>
  <si>
    <t> 0.3087 </t>
  </si>
  <si>
    <t>2454523.3350 </t>
  </si>
  <si>
    <t>2454523.3353 </t>
  </si>
  <si>
    <t> 0.3091 </t>
  </si>
  <si>
    <t>2454772.6025 </t>
  </si>
  <si>
    <t> 02.11.2008 02:27 </t>
  </si>
  <si>
    <t> 0.0020 </t>
  </si>
  <si>
    <t>2454893.3213 </t>
  </si>
  <si>
    <t> 02.03.2009 19:42 </t>
  </si>
  <si>
    <t> -0.0003 </t>
  </si>
  <si>
    <t> H.Kucáková </t>
  </si>
  <si>
    <t>OEJV 0107 </t>
  </si>
  <si>
    <t>2455273.7081 </t>
  </si>
  <si>
    <t> 18.03.2010 04:59 </t>
  </si>
  <si>
    <t> 0.0010 </t>
  </si>
  <si>
    <t>IBVS 5945 </t>
  </si>
  <si>
    <t>2455575.6535 </t>
  </si>
  <si>
    <t> 14.01.2011 03:41 </t>
  </si>
  <si>
    <t> 0.3035 </t>
  </si>
  <si>
    <t>IBVS 5992 </t>
  </si>
  <si>
    <t>2455599.4273 </t>
  </si>
  <si>
    <t> 06.02.2011 22:15 </t>
  </si>
  <si>
    <t>V;I</t>
  </si>
  <si>
    <t>IBVS 5990 </t>
  </si>
  <si>
    <t>2455617.6494 </t>
  </si>
  <si>
    <t> 25.02.2011 03:35 </t>
  </si>
  <si>
    <t>2455905.9251 </t>
  </si>
  <si>
    <t> 10.12.2011 10:12 </t>
  </si>
  <si>
    <t> 0.3004 </t>
  </si>
  <si>
    <t>IBVS 6011 </t>
  </si>
  <si>
    <t>2455959.31377 </t>
  </si>
  <si>
    <t> 01.02.2012 19:31 </t>
  </si>
  <si>
    <t> 0.00186 </t>
  </si>
  <si>
    <t>OEJV 0160 </t>
  </si>
  <si>
    <t>2455986.6445 </t>
  </si>
  <si>
    <t> 29.02.2012 03:28 </t>
  </si>
  <si>
    <t> -0.0005 </t>
  </si>
  <si>
    <t>IBVS 6029 </t>
  </si>
  <si>
    <t>2456313.6462 </t>
  </si>
  <si>
    <t> 21.01.2013 03:30 </t>
  </si>
  <si>
    <t> 0.3030 </t>
  </si>
  <si>
    <t>IBVS 6063 </t>
  </si>
  <si>
    <t>2456314.6433 </t>
  </si>
  <si>
    <t> 22.01.2013 03:26 </t>
  </si>
  <si>
    <t> 0.0013 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</si>
  <si>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</si>
  <si>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</si>
  <si>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</si>
  <si>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</si>
  <si>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</si>
  <si>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</si>
  <si>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</si>
  <si>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</si>
  <si>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</si>
  <si>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</si>
  <si>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</si>
  <si>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IBVS 6202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</si>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</sst>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8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3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11" xfId="0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4" fillId="24" borderId="19" xfId="38" applyFill="1" applyBorder="1" applyAlignment="1" applyProtection="1">
      <alignment horizontal="right" vertical="top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0" fillId="0" borderId="0" xfId="0" applyFont="1">
      <alignment vertical="top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CMi - O-C Diagr.</a:t>
            </a:r>
          </a:p>
        </c:rich>
      </c:tx>
      <c:layout>
        <c:manualLayout>
          <c:xMode val="edge"/>
          <c:yMode val="edge"/>
          <c:x val="0.3784225764050024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3498772611545"/>
          <c:y val="0.14634168126798494"/>
          <c:w val="0.8212573301273936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3.5000000000000001E-3</c:v>
                  </c:pt>
                  <c:pt idx="15">
                    <c:v>3.7000000000000002E-3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8.9999999999999998E-4</c:v>
                  </c:pt>
                  <c:pt idx="21">
                    <c:v>5.0000000000000001E-4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1.1000000000000001E-3</c:v>
                  </c:pt>
                  <c:pt idx="27">
                    <c:v>8.0000000000000004E-4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3.5000000000000001E-3</c:v>
                  </c:pt>
                  <c:pt idx="15">
                    <c:v>3.7000000000000002E-3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8.9999999999999998E-4</c:v>
                  </c:pt>
                  <c:pt idx="21">
                    <c:v>5.0000000000000001E-4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1.1000000000000001E-3</c:v>
                  </c:pt>
                  <c:pt idx="27">
                    <c:v>8.0000000000000004E-4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-5766</c:v>
                </c:pt>
                <c:pt idx="1">
                  <c:v>-3475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14</c:v>
                </c:pt>
                <c:pt idx="6">
                  <c:v>158.5</c:v>
                </c:pt>
                <c:pt idx="7">
                  <c:v>507</c:v>
                </c:pt>
                <c:pt idx="8">
                  <c:v>676</c:v>
                </c:pt>
                <c:pt idx="9">
                  <c:v>5169</c:v>
                </c:pt>
                <c:pt idx="10">
                  <c:v>5961</c:v>
                </c:pt>
                <c:pt idx="11">
                  <c:v>6575</c:v>
                </c:pt>
                <c:pt idx="12">
                  <c:v>6579.5</c:v>
                </c:pt>
                <c:pt idx="13">
                  <c:v>6599.5</c:v>
                </c:pt>
                <c:pt idx="14">
                  <c:v>6768</c:v>
                </c:pt>
                <c:pt idx="15">
                  <c:v>6768</c:v>
                </c:pt>
                <c:pt idx="16">
                  <c:v>6768</c:v>
                </c:pt>
                <c:pt idx="17">
                  <c:v>6768</c:v>
                </c:pt>
                <c:pt idx="18">
                  <c:v>6899.5</c:v>
                </c:pt>
                <c:pt idx="19">
                  <c:v>6905.5</c:v>
                </c:pt>
                <c:pt idx="20">
                  <c:v>7067</c:v>
                </c:pt>
                <c:pt idx="21">
                  <c:v>7074</c:v>
                </c:pt>
                <c:pt idx="22">
                  <c:v>7074</c:v>
                </c:pt>
                <c:pt idx="23">
                  <c:v>7074.5</c:v>
                </c:pt>
                <c:pt idx="24">
                  <c:v>7081.5</c:v>
                </c:pt>
                <c:pt idx="25">
                  <c:v>7088</c:v>
                </c:pt>
                <c:pt idx="26">
                  <c:v>7088</c:v>
                </c:pt>
                <c:pt idx="27">
                  <c:v>7088</c:v>
                </c:pt>
                <c:pt idx="28">
                  <c:v>7197.5</c:v>
                </c:pt>
                <c:pt idx="29">
                  <c:v>7250.5</c:v>
                </c:pt>
                <c:pt idx="30">
                  <c:v>7417.5</c:v>
                </c:pt>
                <c:pt idx="31">
                  <c:v>7550</c:v>
                </c:pt>
                <c:pt idx="32">
                  <c:v>7560.5</c:v>
                </c:pt>
                <c:pt idx="33">
                  <c:v>7568.5</c:v>
                </c:pt>
                <c:pt idx="34">
                  <c:v>7695</c:v>
                </c:pt>
                <c:pt idx="35">
                  <c:v>7718.5</c:v>
                </c:pt>
                <c:pt idx="36">
                  <c:v>7730.5</c:v>
                </c:pt>
                <c:pt idx="37">
                  <c:v>7874</c:v>
                </c:pt>
                <c:pt idx="38">
                  <c:v>7874.5</c:v>
                </c:pt>
                <c:pt idx="39">
                  <c:v>8513.5</c:v>
                </c:pt>
                <c:pt idx="40">
                  <c:v>8690.5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-0.37283999999999651</c:v>
                </c:pt>
                <c:pt idx="12">
                  <c:v>-0.16521999999531545</c:v>
                </c:pt>
                <c:pt idx="18">
                  <c:v>-1.3219999993452802E-2</c:v>
                </c:pt>
                <c:pt idx="19">
                  <c:v>-0.16397999999753665</c:v>
                </c:pt>
                <c:pt idx="20">
                  <c:v>-1.841999999305699E-2</c:v>
                </c:pt>
                <c:pt idx="23">
                  <c:v>-0.16741999999067048</c:v>
                </c:pt>
                <c:pt idx="28">
                  <c:v>-0.16509999999107094</c:v>
                </c:pt>
                <c:pt idx="30">
                  <c:v>-0.16669999998703133</c:v>
                </c:pt>
                <c:pt idx="31">
                  <c:v>-2.4499999999534339E-2</c:v>
                </c:pt>
                <c:pt idx="32">
                  <c:v>-0.16717999999673339</c:v>
                </c:pt>
                <c:pt idx="33">
                  <c:v>-0.16715999998996267</c:v>
                </c:pt>
                <c:pt idx="34">
                  <c:v>-2.8099999995902181E-2</c:v>
                </c:pt>
                <c:pt idx="36">
                  <c:v>-0.16917999998986488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BD-4BB0-B78A-F89927C28C8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1'!$D$21:$D$921</c:f>
                <c:numCache>
                  <c:formatCode>General</c:formatCode>
                  <c:ptCount val="9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3.5000000000000001E-3</c:v>
                  </c:pt>
                  <c:pt idx="15">
                    <c:v>3.7000000000000002E-3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8.9999999999999998E-4</c:v>
                  </c:pt>
                  <c:pt idx="21">
                    <c:v>5.0000000000000001E-4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1.1000000000000001E-3</c:v>
                  </c:pt>
                  <c:pt idx="27">
                    <c:v>8.0000000000000004E-4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</c:numCache>
              </c:numRef>
            </c:plus>
            <c:minus>
              <c:numRef>
                <c:f>'Active 1'!$D$21:$D$921</c:f>
                <c:numCache>
                  <c:formatCode>General</c:formatCode>
                  <c:ptCount val="9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3.5000000000000001E-3</c:v>
                  </c:pt>
                  <c:pt idx="15">
                    <c:v>3.7000000000000002E-3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8.9999999999999998E-4</c:v>
                  </c:pt>
                  <c:pt idx="21">
                    <c:v>5.0000000000000001E-4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1.2999999999999999E-3</c:v>
                  </c:pt>
                  <c:pt idx="26">
                    <c:v>1.1000000000000001E-3</c:v>
                  </c:pt>
                  <c:pt idx="27">
                    <c:v>8.0000000000000004E-4</c:v>
                  </c:pt>
                  <c:pt idx="28">
                    <c:v>4.0000000000000002E-4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2.0000000000000001E-4</c:v>
                  </c:pt>
                  <c:pt idx="36">
                    <c:v>5.9999999999999995E-4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-5766</c:v>
                </c:pt>
                <c:pt idx="1">
                  <c:v>-3475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14</c:v>
                </c:pt>
                <c:pt idx="6">
                  <c:v>158.5</c:v>
                </c:pt>
                <c:pt idx="7">
                  <c:v>507</c:v>
                </c:pt>
                <c:pt idx="8">
                  <c:v>676</c:v>
                </c:pt>
                <c:pt idx="9">
                  <c:v>5169</c:v>
                </c:pt>
                <c:pt idx="10">
                  <c:v>5961</c:v>
                </c:pt>
                <c:pt idx="11">
                  <c:v>6575</c:v>
                </c:pt>
                <c:pt idx="12">
                  <c:v>6579.5</c:v>
                </c:pt>
                <c:pt idx="13">
                  <c:v>6599.5</c:v>
                </c:pt>
                <c:pt idx="14">
                  <c:v>6768</c:v>
                </c:pt>
                <c:pt idx="15">
                  <c:v>6768</c:v>
                </c:pt>
                <c:pt idx="16">
                  <c:v>6768</c:v>
                </c:pt>
                <c:pt idx="17">
                  <c:v>6768</c:v>
                </c:pt>
                <c:pt idx="18">
                  <c:v>6899.5</c:v>
                </c:pt>
                <c:pt idx="19">
                  <c:v>6905.5</c:v>
                </c:pt>
                <c:pt idx="20">
                  <c:v>7067</c:v>
                </c:pt>
                <c:pt idx="21">
                  <c:v>7074</c:v>
                </c:pt>
                <c:pt idx="22">
                  <c:v>7074</c:v>
                </c:pt>
                <c:pt idx="23">
                  <c:v>7074.5</c:v>
                </c:pt>
                <c:pt idx="24">
                  <c:v>7081.5</c:v>
                </c:pt>
                <c:pt idx="25">
                  <c:v>7088</c:v>
                </c:pt>
                <c:pt idx="26">
                  <c:v>7088</c:v>
                </c:pt>
                <c:pt idx="27">
                  <c:v>7088</c:v>
                </c:pt>
                <c:pt idx="28">
                  <c:v>7197.5</c:v>
                </c:pt>
                <c:pt idx="29">
                  <c:v>7250.5</c:v>
                </c:pt>
                <c:pt idx="30">
                  <c:v>7417.5</c:v>
                </c:pt>
                <c:pt idx="31">
                  <c:v>7550</c:v>
                </c:pt>
                <c:pt idx="32">
                  <c:v>7560.5</c:v>
                </c:pt>
                <c:pt idx="33">
                  <c:v>7568.5</c:v>
                </c:pt>
                <c:pt idx="34">
                  <c:v>7695</c:v>
                </c:pt>
                <c:pt idx="35">
                  <c:v>7718.5</c:v>
                </c:pt>
                <c:pt idx="36">
                  <c:v>7730.5</c:v>
                </c:pt>
                <c:pt idx="37">
                  <c:v>7874</c:v>
                </c:pt>
                <c:pt idx="38">
                  <c:v>7874.5</c:v>
                </c:pt>
                <c:pt idx="39">
                  <c:v>8513.5</c:v>
                </c:pt>
                <c:pt idx="40">
                  <c:v>8690.5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-3.9999999971769284E-3</c:v>
                </c:pt>
                <c:pt idx="2">
                  <c:v>1.0000000002037268E-2</c:v>
                </c:pt>
                <c:pt idx="3">
                  <c:v>-3.2799999971757643E-3</c:v>
                </c:pt>
                <c:pt idx="4">
                  <c:v>-4.2159999997238629E-2</c:v>
                </c:pt>
                <c:pt idx="5">
                  <c:v>-8.6399999927380122E-3</c:v>
                </c:pt>
                <c:pt idx="6">
                  <c:v>-8.496000000013737E-2</c:v>
                </c:pt>
                <c:pt idx="7">
                  <c:v>5.5680000004940666E-2</c:v>
                </c:pt>
                <c:pt idx="8">
                  <c:v>1.4240000004065223E-2</c:v>
                </c:pt>
                <c:pt idx="9">
                  <c:v>1.0600000023259781E-3</c:v>
                </c:pt>
                <c:pt idx="10">
                  <c:v>-7.3599999959697016E-3</c:v>
                </c:pt>
                <c:pt idx="11">
                  <c:v>-1.3299999991431832E-2</c:v>
                </c:pt>
                <c:pt idx="13">
                  <c:v>-0.16631999999663094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BD-4BB0-B78A-F89927C28C8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-5766</c:v>
                </c:pt>
                <c:pt idx="1">
                  <c:v>-3475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14</c:v>
                </c:pt>
                <c:pt idx="6">
                  <c:v>158.5</c:v>
                </c:pt>
                <c:pt idx="7">
                  <c:v>507</c:v>
                </c:pt>
                <c:pt idx="8">
                  <c:v>676</c:v>
                </c:pt>
                <c:pt idx="9">
                  <c:v>5169</c:v>
                </c:pt>
                <c:pt idx="10">
                  <c:v>5961</c:v>
                </c:pt>
                <c:pt idx="11">
                  <c:v>6575</c:v>
                </c:pt>
                <c:pt idx="12">
                  <c:v>6579.5</c:v>
                </c:pt>
                <c:pt idx="13">
                  <c:v>6599.5</c:v>
                </c:pt>
                <c:pt idx="14">
                  <c:v>6768</c:v>
                </c:pt>
                <c:pt idx="15">
                  <c:v>6768</c:v>
                </c:pt>
                <c:pt idx="16">
                  <c:v>6768</c:v>
                </c:pt>
                <c:pt idx="17">
                  <c:v>6768</c:v>
                </c:pt>
                <c:pt idx="18">
                  <c:v>6899.5</c:v>
                </c:pt>
                <c:pt idx="19">
                  <c:v>6905.5</c:v>
                </c:pt>
                <c:pt idx="20">
                  <c:v>7067</c:v>
                </c:pt>
                <c:pt idx="21">
                  <c:v>7074</c:v>
                </c:pt>
                <c:pt idx="22">
                  <c:v>7074</c:v>
                </c:pt>
                <c:pt idx="23">
                  <c:v>7074.5</c:v>
                </c:pt>
                <c:pt idx="24">
                  <c:v>7081.5</c:v>
                </c:pt>
                <c:pt idx="25">
                  <c:v>7088</c:v>
                </c:pt>
                <c:pt idx="26">
                  <c:v>7088</c:v>
                </c:pt>
                <c:pt idx="27">
                  <c:v>7088</c:v>
                </c:pt>
                <c:pt idx="28">
                  <c:v>7197.5</c:v>
                </c:pt>
                <c:pt idx="29">
                  <c:v>7250.5</c:v>
                </c:pt>
                <c:pt idx="30">
                  <c:v>7417.5</c:v>
                </c:pt>
                <c:pt idx="31">
                  <c:v>7550</c:v>
                </c:pt>
                <c:pt idx="32">
                  <c:v>7560.5</c:v>
                </c:pt>
                <c:pt idx="33">
                  <c:v>7568.5</c:v>
                </c:pt>
                <c:pt idx="34">
                  <c:v>7695</c:v>
                </c:pt>
                <c:pt idx="35">
                  <c:v>7718.5</c:v>
                </c:pt>
                <c:pt idx="36">
                  <c:v>7730.5</c:v>
                </c:pt>
                <c:pt idx="37">
                  <c:v>7874</c:v>
                </c:pt>
                <c:pt idx="38">
                  <c:v>7874.5</c:v>
                </c:pt>
                <c:pt idx="39">
                  <c:v>8513.5</c:v>
                </c:pt>
                <c:pt idx="40">
                  <c:v>8690.5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14">
                  <c:v>-1.3249999996332917E-2</c:v>
                </c:pt>
                <c:pt idx="15">
                  <c:v>-1.2559999995573889E-2</c:v>
                </c:pt>
                <c:pt idx="16">
                  <c:v>-1.1859999991429504E-2</c:v>
                </c:pt>
                <c:pt idx="17">
                  <c:v>-1.1859999991429504E-2</c:v>
                </c:pt>
                <c:pt idx="21">
                  <c:v>-1.9219999994675163E-2</c:v>
                </c:pt>
                <c:pt idx="22">
                  <c:v>-1.781999999366235E-2</c:v>
                </c:pt>
                <c:pt idx="24">
                  <c:v>-0.16592999999556923</c:v>
                </c:pt>
                <c:pt idx="25">
                  <c:v>-1.7959999990125652E-2</c:v>
                </c:pt>
                <c:pt idx="26">
                  <c:v>-1.7859999992651865E-2</c:v>
                </c:pt>
                <c:pt idx="27">
                  <c:v>-1.7559999992954545E-2</c:v>
                </c:pt>
                <c:pt idx="29">
                  <c:v>-0.16754999999102438</c:v>
                </c:pt>
                <c:pt idx="35">
                  <c:v>-0.16678999999567168</c:v>
                </c:pt>
                <c:pt idx="37">
                  <c:v>-2.6039999997010455E-2</c:v>
                </c:pt>
                <c:pt idx="38">
                  <c:v>-0.16781999999511754</c:v>
                </c:pt>
                <c:pt idx="39">
                  <c:v>-0.16905999999289634</c:v>
                </c:pt>
                <c:pt idx="40">
                  <c:v>-0.16597999978694133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BD-4BB0-B78A-F89927C28C8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-5766</c:v>
                </c:pt>
                <c:pt idx="1">
                  <c:v>-3475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14</c:v>
                </c:pt>
                <c:pt idx="6">
                  <c:v>158.5</c:v>
                </c:pt>
                <c:pt idx="7">
                  <c:v>507</c:v>
                </c:pt>
                <c:pt idx="8">
                  <c:v>676</c:v>
                </c:pt>
                <c:pt idx="9">
                  <c:v>5169</c:v>
                </c:pt>
                <c:pt idx="10">
                  <c:v>5961</c:v>
                </c:pt>
                <c:pt idx="11">
                  <c:v>6575</c:v>
                </c:pt>
                <c:pt idx="12">
                  <c:v>6579.5</c:v>
                </c:pt>
                <c:pt idx="13">
                  <c:v>6599.5</c:v>
                </c:pt>
                <c:pt idx="14">
                  <c:v>6768</c:v>
                </c:pt>
                <c:pt idx="15">
                  <c:v>6768</c:v>
                </c:pt>
                <c:pt idx="16">
                  <c:v>6768</c:v>
                </c:pt>
                <c:pt idx="17">
                  <c:v>6768</c:v>
                </c:pt>
                <c:pt idx="18">
                  <c:v>6899.5</c:v>
                </c:pt>
                <c:pt idx="19">
                  <c:v>6905.5</c:v>
                </c:pt>
                <c:pt idx="20">
                  <c:v>7067</c:v>
                </c:pt>
                <c:pt idx="21">
                  <c:v>7074</c:v>
                </c:pt>
                <c:pt idx="22">
                  <c:v>7074</c:v>
                </c:pt>
                <c:pt idx="23">
                  <c:v>7074.5</c:v>
                </c:pt>
                <c:pt idx="24">
                  <c:v>7081.5</c:v>
                </c:pt>
                <c:pt idx="25">
                  <c:v>7088</c:v>
                </c:pt>
                <c:pt idx="26">
                  <c:v>7088</c:v>
                </c:pt>
                <c:pt idx="27">
                  <c:v>7088</c:v>
                </c:pt>
                <c:pt idx="28">
                  <c:v>7197.5</c:v>
                </c:pt>
                <c:pt idx="29">
                  <c:v>7250.5</c:v>
                </c:pt>
                <c:pt idx="30">
                  <c:v>7417.5</c:v>
                </c:pt>
                <c:pt idx="31">
                  <c:v>7550</c:v>
                </c:pt>
                <c:pt idx="32">
                  <c:v>7560.5</c:v>
                </c:pt>
                <c:pt idx="33">
                  <c:v>7568.5</c:v>
                </c:pt>
                <c:pt idx="34">
                  <c:v>7695</c:v>
                </c:pt>
                <c:pt idx="35">
                  <c:v>7718.5</c:v>
                </c:pt>
                <c:pt idx="36">
                  <c:v>7730.5</c:v>
                </c:pt>
                <c:pt idx="37">
                  <c:v>7874</c:v>
                </c:pt>
                <c:pt idx="38">
                  <c:v>7874.5</c:v>
                </c:pt>
                <c:pt idx="39">
                  <c:v>8513.5</c:v>
                </c:pt>
                <c:pt idx="40">
                  <c:v>8690.5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BD-4BB0-B78A-F89927C28C8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-5766</c:v>
                </c:pt>
                <c:pt idx="1">
                  <c:v>-3475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14</c:v>
                </c:pt>
                <c:pt idx="6">
                  <c:v>158.5</c:v>
                </c:pt>
                <c:pt idx="7">
                  <c:v>507</c:v>
                </c:pt>
                <c:pt idx="8">
                  <c:v>676</c:v>
                </c:pt>
                <c:pt idx="9">
                  <c:v>5169</c:v>
                </c:pt>
                <c:pt idx="10">
                  <c:v>5961</c:v>
                </c:pt>
                <c:pt idx="11">
                  <c:v>6575</c:v>
                </c:pt>
                <c:pt idx="12">
                  <c:v>6579.5</c:v>
                </c:pt>
                <c:pt idx="13">
                  <c:v>6599.5</c:v>
                </c:pt>
                <c:pt idx="14">
                  <c:v>6768</c:v>
                </c:pt>
                <c:pt idx="15">
                  <c:v>6768</c:v>
                </c:pt>
                <c:pt idx="16">
                  <c:v>6768</c:v>
                </c:pt>
                <c:pt idx="17">
                  <c:v>6768</c:v>
                </c:pt>
                <c:pt idx="18">
                  <c:v>6899.5</c:v>
                </c:pt>
                <c:pt idx="19">
                  <c:v>6905.5</c:v>
                </c:pt>
                <c:pt idx="20">
                  <c:v>7067</c:v>
                </c:pt>
                <c:pt idx="21">
                  <c:v>7074</c:v>
                </c:pt>
                <c:pt idx="22">
                  <c:v>7074</c:v>
                </c:pt>
                <c:pt idx="23">
                  <c:v>7074.5</c:v>
                </c:pt>
                <c:pt idx="24">
                  <c:v>7081.5</c:v>
                </c:pt>
                <c:pt idx="25">
                  <c:v>7088</c:v>
                </c:pt>
                <c:pt idx="26">
                  <c:v>7088</c:v>
                </c:pt>
                <c:pt idx="27">
                  <c:v>7088</c:v>
                </c:pt>
                <c:pt idx="28">
                  <c:v>7197.5</c:v>
                </c:pt>
                <c:pt idx="29">
                  <c:v>7250.5</c:v>
                </c:pt>
                <c:pt idx="30">
                  <c:v>7417.5</c:v>
                </c:pt>
                <c:pt idx="31">
                  <c:v>7550</c:v>
                </c:pt>
                <c:pt idx="32">
                  <c:v>7560.5</c:v>
                </c:pt>
                <c:pt idx="33">
                  <c:v>7568.5</c:v>
                </c:pt>
                <c:pt idx="34">
                  <c:v>7695</c:v>
                </c:pt>
                <c:pt idx="35">
                  <c:v>7718.5</c:v>
                </c:pt>
                <c:pt idx="36">
                  <c:v>7730.5</c:v>
                </c:pt>
                <c:pt idx="37">
                  <c:v>7874</c:v>
                </c:pt>
                <c:pt idx="38">
                  <c:v>7874.5</c:v>
                </c:pt>
                <c:pt idx="39">
                  <c:v>8513.5</c:v>
                </c:pt>
                <c:pt idx="40">
                  <c:v>8690.5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BD-4BB0-B78A-F89927C28C8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-5766</c:v>
                </c:pt>
                <c:pt idx="1">
                  <c:v>-3475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14</c:v>
                </c:pt>
                <c:pt idx="6">
                  <c:v>158.5</c:v>
                </c:pt>
                <c:pt idx="7">
                  <c:v>507</c:v>
                </c:pt>
                <c:pt idx="8">
                  <c:v>676</c:v>
                </c:pt>
                <c:pt idx="9">
                  <c:v>5169</c:v>
                </c:pt>
                <c:pt idx="10">
                  <c:v>5961</c:v>
                </c:pt>
                <c:pt idx="11">
                  <c:v>6575</c:v>
                </c:pt>
                <c:pt idx="12">
                  <c:v>6579.5</c:v>
                </c:pt>
                <c:pt idx="13">
                  <c:v>6599.5</c:v>
                </c:pt>
                <c:pt idx="14">
                  <c:v>6768</c:v>
                </c:pt>
                <c:pt idx="15">
                  <c:v>6768</c:v>
                </c:pt>
                <c:pt idx="16">
                  <c:v>6768</c:v>
                </c:pt>
                <c:pt idx="17">
                  <c:v>6768</c:v>
                </c:pt>
                <c:pt idx="18">
                  <c:v>6899.5</c:v>
                </c:pt>
                <c:pt idx="19">
                  <c:v>6905.5</c:v>
                </c:pt>
                <c:pt idx="20">
                  <c:v>7067</c:v>
                </c:pt>
                <c:pt idx="21">
                  <c:v>7074</c:v>
                </c:pt>
                <c:pt idx="22">
                  <c:v>7074</c:v>
                </c:pt>
                <c:pt idx="23">
                  <c:v>7074.5</c:v>
                </c:pt>
                <c:pt idx="24">
                  <c:v>7081.5</c:v>
                </c:pt>
                <c:pt idx="25">
                  <c:v>7088</c:v>
                </c:pt>
                <c:pt idx="26">
                  <c:v>7088</c:v>
                </c:pt>
                <c:pt idx="27">
                  <c:v>7088</c:v>
                </c:pt>
                <c:pt idx="28">
                  <c:v>7197.5</c:v>
                </c:pt>
                <c:pt idx="29">
                  <c:v>7250.5</c:v>
                </c:pt>
                <c:pt idx="30">
                  <c:v>7417.5</c:v>
                </c:pt>
                <c:pt idx="31">
                  <c:v>7550</c:v>
                </c:pt>
                <c:pt idx="32">
                  <c:v>7560.5</c:v>
                </c:pt>
                <c:pt idx="33">
                  <c:v>7568.5</c:v>
                </c:pt>
                <c:pt idx="34">
                  <c:v>7695</c:v>
                </c:pt>
                <c:pt idx="35">
                  <c:v>7718.5</c:v>
                </c:pt>
                <c:pt idx="36">
                  <c:v>7730.5</c:v>
                </c:pt>
                <c:pt idx="37">
                  <c:v>7874</c:v>
                </c:pt>
                <c:pt idx="38">
                  <c:v>7874.5</c:v>
                </c:pt>
                <c:pt idx="39">
                  <c:v>8513.5</c:v>
                </c:pt>
                <c:pt idx="40">
                  <c:v>8690.5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BD-4BB0-B78A-F89927C28C8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-5766</c:v>
                </c:pt>
                <c:pt idx="1">
                  <c:v>-3475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14</c:v>
                </c:pt>
                <c:pt idx="6">
                  <c:v>158.5</c:v>
                </c:pt>
                <c:pt idx="7">
                  <c:v>507</c:v>
                </c:pt>
                <c:pt idx="8">
                  <c:v>676</c:v>
                </c:pt>
                <c:pt idx="9">
                  <c:v>5169</c:v>
                </c:pt>
                <c:pt idx="10">
                  <c:v>5961</c:v>
                </c:pt>
                <c:pt idx="11">
                  <c:v>6575</c:v>
                </c:pt>
                <c:pt idx="12">
                  <c:v>6579.5</c:v>
                </c:pt>
                <c:pt idx="13">
                  <c:v>6599.5</c:v>
                </c:pt>
                <c:pt idx="14">
                  <c:v>6768</c:v>
                </c:pt>
                <c:pt idx="15">
                  <c:v>6768</c:v>
                </c:pt>
                <c:pt idx="16">
                  <c:v>6768</c:v>
                </c:pt>
                <c:pt idx="17">
                  <c:v>6768</c:v>
                </c:pt>
                <c:pt idx="18">
                  <c:v>6899.5</c:v>
                </c:pt>
                <c:pt idx="19">
                  <c:v>6905.5</c:v>
                </c:pt>
                <c:pt idx="20">
                  <c:v>7067</c:v>
                </c:pt>
                <c:pt idx="21">
                  <c:v>7074</c:v>
                </c:pt>
                <c:pt idx="22">
                  <c:v>7074</c:v>
                </c:pt>
                <c:pt idx="23">
                  <c:v>7074.5</c:v>
                </c:pt>
                <c:pt idx="24">
                  <c:v>7081.5</c:v>
                </c:pt>
                <c:pt idx="25">
                  <c:v>7088</c:v>
                </c:pt>
                <c:pt idx="26">
                  <c:v>7088</c:v>
                </c:pt>
                <c:pt idx="27">
                  <c:v>7088</c:v>
                </c:pt>
                <c:pt idx="28">
                  <c:v>7197.5</c:v>
                </c:pt>
                <c:pt idx="29">
                  <c:v>7250.5</c:v>
                </c:pt>
                <c:pt idx="30">
                  <c:v>7417.5</c:v>
                </c:pt>
                <c:pt idx="31">
                  <c:v>7550</c:v>
                </c:pt>
                <c:pt idx="32">
                  <c:v>7560.5</c:v>
                </c:pt>
                <c:pt idx="33">
                  <c:v>7568.5</c:v>
                </c:pt>
                <c:pt idx="34">
                  <c:v>7695</c:v>
                </c:pt>
                <c:pt idx="35">
                  <c:v>7718.5</c:v>
                </c:pt>
                <c:pt idx="36">
                  <c:v>7730.5</c:v>
                </c:pt>
                <c:pt idx="37">
                  <c:v>7874</c:v>
                </c:pt>
                <c:pt idx="38">
                  <c:v>7874.5</c:v>
                </c:pt>
                <c:pt idx="39">
                  <c:v>8513.5</c:v>
                </c:pt>
                <c:pt idx="40">
                  <c:v>8690.5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BD-4BB0-B78A-F89927C28C8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-5766</c:v>
                </c:pt>
                <c:pt idx="1">
                  <c:v>-3475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14</c:v>
                </c:pt>
                <c:pt idx="6">
                  <c:v>158.5</c:v>
                </c:pt>
                <c:pt idx="7">
                  <c:v>507</c:v>
                </c:pt>
                <c:pt idx="8">
                  <c:v>676</c:v>
                </c:pt>
                <c:pt idx="9">
                  <c:v>5169</c:v>
                </c:pt>
                <c:pt idx="10">
                  <c:v>5961</c:v>
                </c:pt>
                <c:pt idx="11">
                  <c:v>6575</c:v>
                </c:pt>
                <c:pt idx="12">
                  <c:v>6579.5</c:v>
                </c:pt>
                <c:pt idx="13">
                  <c:v>6599.5</c:v>
                </c:pt>
                <c:pt idx="14">
                  <c:v>6768</c:v>
                </c:pt>
                <c:pt idx="15">
                  <c:v>6768</c:v>
                </c:pt>
                <c:pt idx="16">
                  <c:v>6768</c:v>
                </c:pt>
                <c:pt idx="17">
                  <c:v>6768</c:v>
                </c:pt>
                <c:pt idx="18">
                  <c:v>6899.5</c:v>
                </c:pt>
                <c:pt idx="19">
                  <c:v>6905.5</c:v>
                </c:pt>
                <c:pt idx="20">
                  <c:v>7067</c:v>
                </c:pt>
                <c:pt idx="21">
                  <c:v>7074</c:v>
                </c:pt>
                <c:pt idx="22">
                  <c:v>7074</c:v>
                </c:pt>
                <c:pt idx="23">
                  <c:v>7074.5</c:v>
                </c:pt>
                <c:pt idx="24">
                  <c:v>7081.5</c:v>
                </c:pt>
                <c:pt idx="25">
                  <c:v>7088</c:v>
                </c:pt>
                <c:pt idx="26">
                  <c:v>7088</c:v>
                </c:pt>
                <c:pt idx="27">
                  <c:v>7088</c:v>
                </c:pt>
                <c:pt idx="28">
                  <c:v>7197.5</c:v>
                </c:pt>
                <c:pt idx="29">
                  <c:v>7250.5</c:v>
                </c:pt>
                <c:pt idx="30">
                  <c:v>7417.5</c:v>
                </c:pt>
                <c:pt idx="31">
                  <c:v>7550</c:v>
                </c:pt>
                <c:pt idx="32">
                  <c:v>7560.5</c:v>
                </c:pt>
                <c:pt idx="33">
                  <c:v>7568.5</c:v>
                </c:pt>
                <c:pt idx="34">
                  <c:v>7695</c:v>
                </c:pt>
                <c:pt idx="35">
                  <c:v>7718.5</c:v>
                </c:pt>
                <c:pt idx="36">
                  <c:v>7730.5</c:v>
                </c:pt>
                <c:pt idx="37">
                  <c:v>7874</c:v>
                </c:pt>
                <c:pt idx="38">
                  <c:v>7874.5</c:v>
                </c:pt>
                <c:pt idx="39">
                  <c:v>8513.5</c:v>
                </c:pt>
                <c:pt idx="40">
                  <c:v>8690.5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0.1539025176318039</c:v>
                </c:pt>
                <c:pt idx="1">
                  <c:v>0.12328763640042791</c:v>
                </c:pt>
                <c:pt idx="2">
                  <c:v>7.6850834881863228E-2</c:v>
                </c:pt>
                <c:pt idx="3">
                  <c:v>7.6810745556811236E-2</c:v>
                </c:pt>
                <c:pt idx="4">
                  <c:v>7.6804064002635897E-2</c:v>
                </c:pt>
                <c:pt idx="5">
                  <c:v>7.6663751364953903E-2</c:v>
                </c:pt>
                <c:pt idx="6">
                  <c:v>7.4732782208282653E-2</c:v>
                </c:pt>
                <c:pt idx="7">
                  <c:v>7.0075738948075519E-2</c:v>
                </c:pt>
                <c:pt idx="8">
                  <c:v>6.781737363681295E-2</c:v>
                </c:pt>
                <c:pt idx="9">
                  <c:v>7.7769278172701989E-3</c:v>
                </c:pt>
                <c:pt idx="10">
                  <c:v>-2.8066539964573534E-3</c:v>
                </c:pt>
                <c:pt idx="11">
                  <c:v>-1.1011602523766331E-2</c:v>
                </c:pt>
                <c:pt idx="12">
                  <c:v>-1.1071736511344327E-2</c:v>
                </c:pt>
                <c:pt idx="13">
                  <c:v>-1.1338998678357651E-2</c:v>
                </c:pt>
                <c:pt idx="14">
                  <c:v>-1.3590682435444895E-2</c:v>
                </c:pt>
                <c:pt idx="15">
                  <c:v>-1.3590682435444895E-2</c:v>
                </c:pt>
                <c:pt idx="16">
                  <c:v>-1.3590682435444895E-2</c:v>
                </c:pt>
                <c:pt idx="17">
                  <c:v>-1.3590682435444895E-2</c:v>
                </c:pt>
                <c:pt idx="18">
                  <c:v>-1.5347931183557484E-2</c:v>
                </c:pt>
                <c:pt idx="19">
                  <c:v>-1.5428109833661482E-2</c:v>
                </c:pt>
                <c:pt idx="20">
                  <c:v>-1.758625183229405E-2</c:v>
                </c:pt>
                <c:pt idx="21">
                  <c:v>-1.7679793590748713E-2</c:v>
                </c:pt>
                <c:pt idx="22">
                  <c:v>-1.7679793590748713E-2</c:v>
                </c:pt>
                <c:pt idx="23">
                  <c:v>-1.7686475144924052E-2</c:v>
                </c:pt>
                <c:pt idx="24">
                  <c:v>-1.7780016903378715E-2</c:v>
                </c:pt>
                <c:pt idx="25">
                  <c:v>-1.7866877107658038E-2</c:v>
                </c:pt>
                <c:pt idx="26">
                  <c:v>-1.7866877107658038E-2</c:v>
                </c:pt>
                <c:pt idx="27">
                  <c:v>-1.7866877107658038E-2</c:v>
                </c:pt>
                <c:pt idx="28">
                  <c:v>-1.9330137472055975E-2</c:v>
                </c:pt>
                <c:pt idx="29">
                  <c:v>-2.0038382214641284E-2</c:v>
                </c:pt>
                <c:pt idx="30">
                  <c:v>-2.2270021309202512E-2</c:v>
                </c:pt>
                <c:pt idx="31">
                  <c:v>-2.4040633165665778E-2</c:v>
                </c:pt>
                <c:pt idx="32">
                  <c:v>-2.4180945803347773E-2</c:v>
                </c:pt>
                <c:pt idx="33">
                  <c:v>-2.4287850670153099E-2</c:v>
                </c:pt>
                <c:pt idx="34">
                  <c:v>-2.5978283876512354E-2</c:v>
                </c:pt>
                <c:pt idx="35">
                  <c:v>-2.6292316922753009E-2</c:v>
                </c:pt>
                <c:pt idx="36">
                  <c:v>-2.6452674222961006E-2</c:v>
                </c:pt>
                <c:pt idx="37">
                  <c:v>-2.8370280271281592E-2</c:v>
                </c:pt>
                <c:pt idx="38">
                  <c:v>-2.8376961825456917E-2</c:v>
                </c:pt>
                <c:pt idx="39">
                  <c:v>-3.6915988061532554E-2</c:v>
                </c:pt>
                <c:pt idx="40">
                  <c:v>-3.928125823960045E-2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BD-4BB0-B78A-F89927C28C83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-5766</c:v>
                </c:pt>
                <c:pt idx="1">
                  <c:v>-3475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14</c:v>
                </c:pt>
                <c:pt idx="6">
                  <c:v>158.5</c:v>
                </c:pt>
                <c:pt idx="7">
                  <c:v>507</c:v>
                </c:pt>
                <c:pt idx="8">
                  <c:v>676</c:v>
                </c:pt>
                <c:pt idx="9">
                  <c:v>5169</c:v>
                </c:pt>
                <c:pt idx="10">
                  <c:v>5961</c:v>
                </c:pt>
                <c:pt idx="11">
                  <c:v>6575</c:v>
                </c:pt>
                <c:pt idx="12">
                  <c:v>6579.5</c:v>
                </c:pt>
                <c:pt idx="13">
                  <c:v>6599.5</c:v>
                </c:pt>
                <c:pt idx="14">
                  <c:v>6768</c:v>
                </c:pt>
                <c:pt idx="15">
                  <c:v>6768</c:v>
                </c:pt>
                <c:pt idx="16">
                  <c:v>6768</c:v>
                </c:pt>
                <c:pt idx="17">
                  <c:v>6768</c:v>
                </c:pt>
                <c:pt idx="18">
                  <c:v>6899.5</c:v>
                </c:pt>
                <c:pt idx="19">
                  <c:v>6905.5</c:v>
                </c:pt>
                <c:pt idx="20">
                  <c:v>7067</c:v>
                </c:pt>
                <c:pt idx="21">
                  <c:v>7074</c:v>
                </c:pt>
                <c:pt idx="22">
                  <c:v>7074</c:v>
                </c:pt>
                <c:pt idx="23">
                  <c:v>7074.5</c:v>
                </c:pt>
                <c:pt idx="24">
                  <c:v>7081.5</c:v>
                </c:pt>
                <c:pt idx="25">
                  <c:v>7088</c:v>
                </c:pt>
                <c:pt idx="26">
                  <c:v>7088</c:v>
                </c:pt>
                <c:pt idx="27">
                  <c:v>7088</c:v>
                </c:pt>
                <c:pt idx="28">
                  <c:v>7197.5</c:v>
                </c:pt>
                <c:pt idx="29">
                  <c:v>7250.5</c:v>
                </c:pt>
                <c:pt idx="30">
                  <c:v>7417.5</c:v>
                </c:pt>
                <c:pt idx="31">
                  <c:v>7550</c:v>
                </c:pt>
                <c:pt idx="32">
                  <c:v>7560.5</c:v>
                </c:pt>
                <c:pt idx="33">
                  <c:v>7568.5</c:v>
                </c:pt>
                <c:pt idx="34">
                  <c:v>7695</c:v>
                </c:pt>
                <c:pt idx="35">
                  <c:v>7718.5</c:v>
                </c:pt>
                <c:pt idx="36">
                  <c:v>7730.5</c:v>
                </c:pt>
                <c:pt idx="37">
                  <c:v>7874</c:v>
                </c:pt>
                <c:pt idx="38">
                  <c:v>7874.5</c:v>
                </c:pt>
                <c:pt idx="39">
                  <c:v>8513.5</c:v>
                </c:pt>
                <c:pt idx="40">
                  <c:v>8690.5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-0.15080784279642509</c:v>
                </c:pt>
                <c:pt idx="1">
                  <c:v>-0.1535728670538509</c:v>
                </c:pt>
                <c:pt idx="2">
                  <c:v>-0.15776686936487433</c:v>
                </c:pt>
                <c:pt idx="3">
                  <c:v>-0.15777049008629393</c:v>
                </c:pt>
                <c:pt idx="4">
                  <c:v>-0.15777109353986385</c:v>
                </c:pt>
                <c:pt idx="5">
                  <c:v>-0.15778376606483241</c:v>
                </c:pt>
                <c:pt idx="6">
                  <c:v>-0.1579581641465426</c:v>
                </c:pt>
                <c:pt idx="7">
                  <c:v>-0.15837877128478481</c:v>
                </c:pt>
                <c:pt idx="8">
                  <c:v>-0.15858273859142163</c:v>
                </c:pt>
                <c:pt idx="9">
                  <c:v>-0.16400537237082544</c:v>
                </c:pt>
                <c:pt idx="10">
                  <c:v>-0.16496124282559682</c:v>
                </c:pt>
                <c:pt idx="11">
                  <c:v>-0.16570228380947261</c:v>
                </c:pt>
                <c:pt idx="12">
                  <c:v>-0.16570771489160199</c:v>
                </c:pt>
                <c:pt idx="13">
                  <c:v>-0.16573185303439925</c:v>
                </c:pt>
                <c:pt idx="14">
                  <c:v>-0.16593521688746615</c:v>
                </c:pt>
                <c:pt idx="15">
                  <c:v>-0.16593521688746615</c:v>
                </c:pt>
                <c:pt idx="16">
                  <c:v>-0.16593521688746615</c:v>
                </c:pt>
                <c:pt idx="17">
                  <c:v>-0.16593521688746615</c:v>
                </c:pt>
                <c:pt idx="18">
                  <c:v>-0.16609392517635813</c:v>
                </c:pt>
                <c:pt idx="19">
                  <c:v>-0.1661011666191973</c:v>
                </c:pt>
                <c:pt idx="20">
                  <c:v>-0.16629608212228514</c:v>
                </c:pt>
                <c:pt idx="21">
                  <c:v>-0.16630453047226418</c:v>
                </c:pt>
                <c:pt idx="22">
                  <c:v>-0.16630453047226418</c:v>
                </c:pt>
                <c:pt idx="23">
                  <c:v>-0.16630513392583413</c:v>
                </c:pt>
                <c:pt idx="24">
                  <c:v>-0.16631358227581317</c:v>
                </c:pt>
                <c:pt idx="25">
                  <c:v>-0.16632142717222226</c:v>
                </c:pt>
                <c:pt idx="26">
                  <c:v>-0.16632142717222226</c:v>
                </c:pt>
                <c:pt idx="27">
                  <c:v>-0.16632142717222226</c:v>
                </c:pt>
                <c:pt idx="28">
                  <c:v>-0.16645358350403724</c:v>
                </c:pt>
                <c:pt idx="29">
                  <c:v>-0.16651754958244996</c:v>
                </c:pt>
                <c:pt idx="30">
                  <c:v>-0.16671910307480708</c:v>
                </c:pt>
                <c:pt idx="31">
                  <c:v>-0.1668790182708389</c:v>
                </c:pt>
                <c:pt idx="32">
                  <c:v>-0.16689169079580746</c:v>
                </c:pt>
                <c:pt idx="33">
                  <c:v>-0.16690134605292636</c:v>
                </c:pt>
                <c:pt idx="34">
                  <c:v>-0.167054019806119</c:v>
                </c:pt>
                <c:pt idx="35">
                  <c:v>-0.1670823821239058</c:v>
                </c:pt>
                <c:pt idx="36">
                  <c:v>-0.16709686500958415</c:v>
                </c:pt>
                <c:pt idx="37">
                  <c:v>-0.16727005618415447</c:v>
                </c:pt>
                <c:pt idx="38">
                  <c:v>-0.16727065963772439</c:v>
                </c:pt>
                <c:pt idx="39">
                  <c:v>-0.16804187330009676</c:v>
                </c:pt>
                <c:pt idx="40">
                  <c:v>-0.16825549586385249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BD-4BB0-B78A-F89927C28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583728"/>
        <c:axId val="1"/>
      </c:scatterChart>
      <c:valAx>
        <c:axId val="569583728"/>
        <c:scaling>
          <c:orientation val="minMax"/>
          <c:max val="9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296697816154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583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51546696759522E-2"/>
          <c:y val="0.92073298764483702"/>
          <c:w val="0.8872799354187006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CMi - Prim. O-C Diagr.</a:t>
            </a:r>
          </a:p>
        </c:rich>
      </c:tx>
      <c:layout>
        <c:manualLayout>
          <c:xMode val="edge"/>
          <c:yMode val="edge"/>
          <c:x val="0.299376517644234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8949485065835"/>
          <c:y val="0.14723926380368099"/>
          <c:w val="0.79809940521795852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-5766</c:v>
                </c:pt>
                <c:pt idx="1">
                  <c:v>-3475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14</c:v>
                </c:pt>
                <c:pt idx="6">
                  <c:v>158.5</c:v>
                </c:pt>
                <c:pt idx="7">
                  <c:v>507</c:v>
                </c:pt>
                <c:pt idx="8">
                  <c:v>676</c:v>
                </c:pt>
                <c:pt idx="9">
                  <c:v>5169</c:v>
                </c:pt>
                <c:pt idx="10">
                  <c:v>5961</c:v>
                </c:pt>
                <c:pt idx="11">
                  <c:v>6575</c:v>
                </c:pt>
                <c:pt idx="12">
                  <c:v>6579.5</c:v>
                </c:pt>
                <c:pt idx="13">
                  <c:v>6599.5</c:v>
                </c:pt>
                <c:pt idx="14">
                  <c:v>6768</c:v>
                </c:pt>
                <c:pt idx="15">
                  <c:v>6768</c:v>
                </c:pt>
                <c:pt idx="16">
                  <c:v>6768</c:v>
                </c:pt>
                <c:pt idx="17">
                  <c:v>6768</c:v>
                </c:pt>
                <c:pt idx="18">
                  <c:v>6899.5</c:v>
                </c:pt>
                <c:pt idx="19">
                  <c:v>6905.5</c:v>
                </c:pt>
                <c:pt idx="20">
                  <c:v>7067</c:v>
                </c:pt>
                <c:pt idx="21">
                  <c:v>7074</c:v>
                </c:pt>
                <c:pt idx="22">
                  <c:v>7074</c:v>
                </c:pt>
                <c:pt idx="23">
                  <c:v>7074.5</c:v>
                </c:pt>
                <c:pt idx="24">
                  <c:v>7081.5</c:v>
                </c:pt>
                <c:pt idx="25">
                  <c:v>7088</c:v>
                </c:pt>
                <c:pt idx="26">
                  <c:v>7088</c:v>
                </c:pt>
                <c:pt idx="27">
                  <c:v>7088</c:v>
                </c:pt>
                <c:pt idx="28">
                  <c:v>7197.5</c:v>
                </c:pt>
                <c:pt idx="29">
                  <c:v>7250.5</c:v>
                </c:pt>
                <c:pt idx="30">
                  <c:v>7417.5</c:v>
                </c:pt>
                <c:pt idx="31">
                  <c:v>7550</c:v>
                </c:pt>
                <c:pt idx="32">
                  <c:v>7560.5</c:v>
                </c:pt>
                <c:pt idx="33">
                  <c:v>7568.5</c:v>
                </c:pt>
                <c:pt idx="34">
                  <c:v>7695</c:v>
                </c:pt>
                <c:pt idx="35">
                  <c:v>7718.5</c:v>
                </c:pt>
                <c:pt idx="36">
                  <c:v>7730.5</c:v>
                </c:pt>
                <c:pt idx="37">
                  <c:v>7874</c:v>
                </c:pt>
                <c:pt idx="38">
                  <c:v>7874.5</c:v>
                </c:pt>
                <c:pt idx="39">
                  <c:v>8513.5</c:v>
                </c:pt>
                <c:pt idx="40">
                  <c:v>8690.5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4">
                  <c:v>-4.2159999997238629E-2</c:v>
                </c:pt>
                <c:pt idx="6">
                  <c:v>-8.496000000013737E-2</c:v>
                </c:pt>
                <c:pt idx="9">
                  <c:v>1.0600000023259781E-3</c:v>
                </c:pt>
                <c:pt idx="11">
                  <c:v>-1.3299999991431832E-2</c:v>
                </c:pt>
                <c:pt idx="14">
                  <c:v>-1.3249999996332917E-2</c:v>
                </c:pt>
                <c:pt idx="15">
                  <c:v>-1.2559999995573889E-2</c:v>
                </c:pt>
                <c:pt idx="16">
                  <c:v>-1.1859999991429504E-2</c:v>
                </c:pt>
                <c:pt idx="17">
                  <c:v>-1.1859999991429504E-2</c:v>
                </c:pt>
                <c:pt idx="20">
                  <c:v>-1.841999999305699E-2</c:v>
                </c:pt>
                <c:pt idx="21">
                  <c:v>-1.9219999994675163E-2</c:v>
                </c:pt>
                <c:pt idx="22">
                  <c:v>-1.781999999366235E-2</c:v>
                </c:pt>
                <c:pt idx="25">
                  <c:v>-1.7959999990125652E-2</c:v>
                </c:pt>
                <c:pt idx="26">
                  <c:v>-1.7859999992651865E-2</c:v>
                </c:pt>
                <c:pt idx="27">
                  <c:v>-1.7559999992954545E-2</c:v>
                </c:pt>
                <c:pt idx="31">
                  <c:v>-2.4499999999534339E-2</c:v>
                </c:pt>
                <c:pt idx="34">
                  <c:v>-2.8099999995902181E-2</c:v>
                </c:pt>
                <c:pt idx="37">
                  <c:v>-2.6039999997010455E-2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48-4FAB-BE11-DD3275F34E89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-5766</c:v>
                </c:pt>
                <c:pt idx="1">
                  <c:v>-3475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14</c:v>
                </c:pt>
                <c:pt idx="6">
                  <c:v>158.5</c:v>
                </c:pt>
                <c:pt idx="7">
                  <c:v>507</c:v>
                </c:pt>
                <c:pt idx="8">
                  <c:v>676</c:v>
                </c:pt>
                <c:pt idx="9">
                  <c:v>5169</c:v>
                </c:pt>
                <c:pt idx="10">
                  <c:v>5961</c:v>
                </c:pt>
                <c:pt idx="11">
                  <c:v>6575</c:v>
                </c:pt>
                <c:pt idx="12">
                  <c:v>6579.5</c:v>
                </c:pt>
                <c:pt idx="13">
                  <c:v>6599.5</c:v>
                </c:pt>
                <c:pt idx="14">
                  <c:v>6768</c:v>
                </c:pt>
                <c:pt idx="15">
                  <c:v>6768</c:v>
                </c:pt>
                <c:pt idx="16">
                  <c:v>6768</c:v>
                </c:pt>
                <c:pt idx="17">
                  <c:v>6768</c:v>
                </c:pt>
                <c:pt idx="18">
                  <c:v>6899.5</c:v>
                </c:pt>
                <c:pt idx="19">
                  <c:v>6905.5</c:v>
                </c:pt>
                <c:pt idx="20">
                  <c:v>7067</c:v>
                </c:pt>
                <c:pt idx="21">
                  <c:v>7074</c:v>
                </c:pt>
                <c:pt idx="22">
                  <c:v>7074</c:v>
                </c:pt>
                <c:pt idx="23">
                  <c:v>7074.5</c:v>
                </c:pt>
                <c:pt idx="24">
                  <c:v>7081.5</c:v>
                </c:pt>
                <c:pt idx="25">
                  <c:v>7088</c:v>
                </c:pt>
                <c:pt idx="26">
                  <c:v>7088</c:v>
                </c:pt>
                <c:pt idx="27">
                  <c:v>7088</c:v>
                </c:pt>
                <c:pt idx="28">
                  <c:v>7197.5</c:v>
                </c:pt>
                <c:pt idx="29">
                  <c:v>7250.5</c:v>
                </c:pt>
                <c:pt idx="30">
                  <c:v>7417.5</c:v>
                </c:pt>
                <c:pt idx="31">
                  <c:v>7550</c:v>
                </c:pt>
                <c:pt idx="32">
                  <c:v>7560.5</c:v>
                </c:pt>
                <c:pt idx="33">
                  <c:v>7568.5</c:v>
                </c:pt>
                <c:pt idx="34">
                  <c:v>7695</c:v>
                </c:pt>
                <c:pt idx="35">
                  <c:v>7718.5</c:v>
                </c:pt>
                <c:pt idx="36">
                  <c:v>7730.5</c:v>
                </c:pt>
                <c:pt idx="37">
                  <c:v>7874</c:v>
                </c:pt>
                <c:pt idx="38">
                  <c:v>7874.5</c:v>
                </c:pt>
                <c:pt idx="39">
                  <c:v>8513.5</c:v>
                </c:pt>
                <c:pt idx="40">
                  <c:v>8690.5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0.1539025176318039</c:v>
                </c:pt>
                <c:pt idx="1">
                  <c:v>0.12328763640042791</c:v>
                </c:pt>
                <c:pt idx="2">
                  <c:v>7.6850834881863228E-2</c:v>
                </c:pt>
                <c:pt idx="3">
                  <c:v>7.6810745556811236E-2</c:v>
                </c:pt>
                <c:pt idx="4">
                  <c:v>7.6804064002635897E-2</c:v>
                </c:pt>
                <c:pt idx="5">
                  <c:v>7.6663751364953903E-2</c:v>
                </c:pt>
                <c:pt idx="6">
                  <c:v>7.4732782208282653E-2</c:v>
                </c:pt>
                <c:pt idx="7">
                  <c:v>7.0075738948075519E-2</c:v>
                </c:pt>
                <c:pt idx="8">
                  <c:v>6.781737363681295E-2</c:v>
                </c:pt>
                <c:pt idx="9">
                  <c:v>7.7769278172701989E-3</c:v>
                </c:pt>
                <c:pt idx="10">
                  <c:v>-2.8066539964573534E-3</c:v>
                </c:pt>
                <c:pt idx="11">
                  <c:v>-1.1011602523766331E-2</c:v>
                </c:pt>
                <c:pt idx="12">
                  <c:v>-1.1071736511344327E-2</c:v>
                </c:pt>
                <c:pt idx="13">
                  <c:v>-1.1338998678357651E-2</c:v>
                </c:pt>
                <c:pt idx="14">
                  <c:v>-1.3590682435444895E-2</c:v>
                </c:pt>
                <c:pt idx="15">
                  <c:v>-1.3590682435444895E-2</c:v>
                </c:pt>
                <c:pt idx="16">
                  <c:v>-1.3590682435444895E-2</c:v>
                </c:pt>
                <c:pt idx="17">
                  <c:v>-1.3590682435444895E-2</c:v>
                </c:pt>
                <c:pt idx="18">
                  <c:v>-1.5347931183557484E-2</c:v>
                </c:pt>
                <c:pt idx="19">
                  <c:v>-1.5428109833661482E-2</c:v>
                </c:pt>
                <c:pt idx="20">
                  <c:v>-1.758625183229405E-2</c:v>
                </c:pt>
                <c:pt idx="21">
                  <c:v>-1.7679793590748713E-2</c:v>
                </c:pt>
                <c:pt idx="22">
                  <c:v>-1.7679793590748713E-2</c:v>
                </c:pt>
                <c:pt idx="23">
                  <c:v>-1.7686475144924052E-2</c:v>
                </c:pt>
                <c:pt idx="24">
                  <c:v>-1.7780016903378715E-2</c:v>
                </c:pt>
                <c:pt idx="25">
                  <c:v>-1.7866877107658038E-2</c:v>
                </c:pt>
                <c:pt idx="26">
                  <c:v>-1.7866877107658038E-2</c:v>
                </c:pt>
                <c:pt idx="27">
                  <c:v>-1.7866877107658038E-2</c:v>
                </c:pt>
                <c:pt idx="28">
                  <c:v>-1.9330137472055975E-2</c:v>
                </c:pt>
                <c:pt idx="29">
                  <c:v>-2.0038382214641284E-2</c:v>
                </c:pt>
                <c:pt idx="30">
                  <c:v>-2.2270021309202512E-2</c:v>
                </c:pt>
                <c:pt idx="31">
                  <c:v>-2.4040633165665778E-2</c:v>
                </c:pt>
                <c:pt idx="32">
                  <c:v>-2.4180945803347773E-2</c:v>
                </c:pt>
                <c:pt idx="33">
                  <c:v>-2.4287850670153099E-2</c:v>
                </c:pt>
                <c:pt idx="34">
                  <c:v>-2.5978283876512354E-2</c:v>
                </c:pt>
                <c:pt idx="35">
                  <c:v>-2.6292316922753009E-2</c:v>
                </c:pt>
                <c:pt idx="36">
                  <c:v>-2.6452674222961006E-2</c:v>
                </c:pt>
                <c:pt idx="37">
                  <c:v>-2.8370280271281592E-2</c:v>
                </c:pt>
                <c:pt idx="38">
                  <c:v>-2.8376961825456917E-2</c:v>
                </c:pt>
                <c:pt idx="39">
                  <c:v>-3.6915988061532554E-2</c:v>
                </c:pt>
                <c:pt idx="40">
                  <c:v>-3.928125823960045E-2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48-4FAB-BE11-DD3275F34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124576"/>
        <c:axId val="1"/>
      </c:scatterChart>
      <c:valAx>
        <c:axId val="483124576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75682223713719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24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698588352131657"/>
          <c:y val="0.92024539877300615"/>
          <c:w val="0.3035345218022383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CMi - Sec. O-C Diagr.</a:t>
            </a:r>
          </a:p>
        </c:rich>
      </c:tx>
      <c:layout>
        <c:manualLayout>
          <c:xMode val="edge"/>
          <c:yMode val="edge"/>
          <c:x val="0.3081634795650543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1175437667961"/>
          <c:y val="0.14678942920199375"/>
          <c:w val="0.79844631769304852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-5766</c:v>
                </c:pt>
                <c:pt idx="1">
                  <c:v>-3475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14</c:v>
                </c:pt>
                <c:pt idx="6">
                  <c:v>158.5</c:v>
                </c:pt>
                <c:pt idx="7">
                  <c:v>507</c:v>
                </c:pt>
                <c:pt idx="8">
                  <c:v>676</c:v>
                </c:pt>
                <c:pt idx="9">
                  <c:v>5169</c:v>
                </c:pt>
                <c:pt idx="10">
                  <c:v>5961</c:v>
                </c:pt>
                <c:pt idx="11">
                  <c:v>6575</c:v>
                </c:pt>
                <c:pt idx="12">
                  <c:v>6579.5</c:v>
                </c:pt>
                <c:pt idx="13">
                  <c:v>6599.5</c:v>
                </c:pt>
                <c:pt idx="14">
                  <c:v>6768</c:v>
                </c:pt>
                <c:pt idx="15">
                  <c:v>6768</c:v>
                </c:pt>
                <c:pt idx="16">
                  <c:v>6768</c:v>
                </c:pt>
                <c:pt idx="17">
                  <c:v>6768</c:v>
                </c:pt>
                <c:pt idx="18">
                  <c:v>6899.5</c:v>
                </c:pt>
                <c:pt idx="19">
                  <c:v>6905.5</c:v>
                </c:pt>
                <c:pt idx="20">
                  <c:v>7067</c:v>
                </c:pt>
                <c:pt idx="21">
                  <c:v>7074</c:v>
                </c:pt>
                <c:pt idx="22">
                  <c:v>7074</c:v>
                </c:pt>
                <c:pt idx="23">
                  <c:v>7074.5</c:v>
                </c:pt>
                <c:pt idx="24">
                  <c:v>7081.5</c:v>
                </c:pt>
                <c:pt idx="25">
                  <c:v>7088</c:v>
                </c:pt>
                <c:pt idx="26">
                  <c:v>7088</c:v>
                </c:pt>
                <c:pt idx="27">
                  <c:v>7088</c:v>
                </c:pt>
                <c:pt idx="28">
                  <c:v>7197.5</c:v>
                </c:pt>
                <c:pt idx="29">
                  <c:v>7250.5</c:v>
                </c:pt>
                <c:pt idx="30">
                  <c:v>7417.5</c:v>
                </c:pt>
                <c:pt idx="31">
                  <c:v>7550</c:v>
                </c:pt>
                <c:pt idx="32">
                  <c:v>7560.5</c:v>
                </c:pt>
                <c:pt idx="33">
                  <c:v>7568.5</c:v>
                </c:pt>
                <c:pt idx="34">
                  <c:v>7695</c:v>
                </c:pt>
                <c:pt idx="35">
                  <c:v>7718.5</c:v>
                </c:pt>
                <c:pt idx="36">
                  <c:v>7730.5</c:v>
                </c:pt>
                <c:pt idx="37">
                  <c:v>7874</c:v>
                </c:pt>
                <c:pt idx="38">
                  <c:v>7874.5</c:v>
                </c:pt>
                <c:pt idx="39">
                  <c:v>8513.5</c:v>
                </c:pt>
                <c:pt idx="40">
                  <c:v>8690.5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-3.9999999971769284E-3</c:v>
                </c:pt>
                <c:pt idx="2">
                  <c:v>1.0000000002037268E-2</c:v>
                </c:pt>
                <c:pt idx="3">
                  <c:v>-3.2799999971757643E-3</c:v>
                </c:pt>
                <c:pt idx="5">
                  <c:v>-8.6399999927380122E-3</c:v>
                </c:pt>
                <c:pt idx="7">
                  <c:v>5.5680000004940666E-2</c:v>
                </c:pt>
                <c:pt idx="8">
                  <c:v>1.4240000004065223E-2</c:v>
                </c:pt>
                <c:pt idx="10">
                  <c:v>-7.3599999959697016E-3</c:v>
                </c:pt>
                <c:pt idx="12">
                  <c:v>-0.16521999999531545</c:v>
                </c:pt>
                <c:pt idx="13">
                  <c:v>-0.16631999999663094</c:v>
                </c:pt>
                <c:pt idx="19">
                  <c:v>-0.16397999999753665</c:v>
                </c:pt>
                <c:pt idx="23">
                  <c:v>-0.16741999999067048</c:v>
                </c:pt>
                <c:pt idx="24">
                  <c:v>-0.16592999999556923</c:v>
                </c:pt>
                <c:pt idx="28">
                  <c:v>-0.16509999999107094</c:v>
                </c:pt>
                <c:pt idx="29">
                  <c:v>-0.16754999999102438</c:v>
                </c:pt>
                <c:pt idx="30">
                  <c:v>-0.16669999998703133</c:v>
                </c:pt>
                <c:pt idx="32">
                  <c:v>-0.16717999999673339</c:v>
                </c:pt>
                <c:pt idx="33">
                  <c:v>-0.16715999998996267</c:v>
                </c:pt>
                <c:pt idx="35">
                  <c:v>-0.16678999999567168</c:v>
                </c:pt>
                <c:pt idx="36">
                  <c:v>-0.16917999998986488</c:v>
                </c:pt>
                <c:pt idx="38">
                  <c:v>-0.16781999999511754</c:v>
                </c:pt>
                <c:pt idx="39">
                  <c:v>-0.16905999999289634</c:v>
                </c:pt>
                <c:pt idx="40">
                  <c:v>-0.16597999978694133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C8-4839-A860-D830A62F7C8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-5766</c:v>
                </c:pt>
                <c:pt idx="1">
                  <c:v>-3475</c:v>
                </c:pt>
                <c:pt idx="2">
                  <c:v>0</c:v>
                </c:pt>
                <c:pt idx="3">
                  <c:v>3</c:v>
                </c:pt>
                <c:pt idx="4">
                  <c:v>3.5</c:v>
                </c:pt>
                <c:pt idx="5">
                  <c:v>14</c:v>
                </c:pt>
                <c:pt idx="6">
                  <c:v>158.5</c:v>
                </c:pt>
                <c:pt idx="7">
                  <c:v>507</c:v>
                </c:pt>
                <c:pt idx="8">
                  <c:v>676</c:v>
                </c:pt>
                <c:pt idx="9">
                  <c:v>5169</c:v>
                </c:pt>
                <c:pt idx="10">
                  <c:v>5961</c:v>
                </c:pt>
                <c:pt idx="11">
                  <c:v>6575</c:v>
                </c:pt>
                <c:pt idx="12">
                  <c:v>6579.5</c:v>
                </c:pt>
                <c:pt idx="13">
                  <c:v>6599.5</c:v>
                </c:pt>
                <c:pt idx="14">
                  <c:v>6768</c:v>
                </c:pt>
                <c:pt idx="15">
                  <c:v>6768</c:v>
                </c:pt>
                <c:pt idx="16">
                  <c:v>6768</c:v>
                </c:pt>
                <c:pt idx="17">
                  <c:v>6768</c:v>
                </c:pt>
                <c:pt idx="18">
                  <c:v>6899.5</c:v>
                </c:pt>
                <c:pt idx="19">
                  <c:v>6905.5</c:v>
                </c:pt>
                <c:pt idx="20">
                  <c:v>7067</c:v>
                </c:pt>
                <c:pt idx="21">
                  <c:v>7074</c:v>
                </c:pt>
                <c:pt idx="22">
                  <c:v>7074</c:v>
                </c:pt>
                <c:pt idx="23">
                  <c:v>7074.5</c:v>
                </c:pt>
                <c:pt idx="24">
                  <c:v>7081.5</c:v>
                </c:pt>
                <c:pt idx="25">
                  <c:v>7088</c:v>
                </c:pt>
                <c:pt idx="26">
                  <c:v>7088</c:v>
                </c:pt>
                <c:pt idx="27">
                  <c:v>7088</c:v>
                </c:pt>
                <c:pt idx="28">
                  <c:v>7197.5</c:v>
                </c:pt>
                <c:pt idx="29">
                  <c:v>7250.5</c:v>
                </c:pt>
                <c:pt idx="30">
                  <c:v>7417.5</c:v>
                </c:pt>
                <c:pt idx="31">
                  <c:v>7550</c:v>
                </c:pt>
                <c:pt idx="32">
                  <c:v>7560.5</c:v>
                </c:pt>
                <c:pt idx="33">
                  <c:v>7568.5</c:v>
                </c:pt>
                <c:pt idx="34">
                  <c:v>7695</c:v>
                </c:pt>
                <c:pt idx="35">
                  <c:v>7718.5</c:v>
                </c:pt>
                <c:pt idx="36">
                  <c:v>7730.5</c:v>
                </c:pt>
                <c:pt idx="37">
                  <c:v>7874</c:v>
                </c:pt>
                <c:pt idx="38">
                  <c:v>7874.5</c:v>
                </c:pt>
                <c:pt idx="39">
                  <c:v>8513.5</c:v>
                </c:pt>
                <c:pt idx="40">
                  <c:v>8690.5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-0.15080784279642509</c:v>
                </c:pt>
                <c:pt idx="1">
                  <c:v>-0.1535728670538509</c:v>
                </c:pt>
                <c:pt idx="2">
                  <c:v>-0.15776686936487433</c:v>
                </c:pt>
                <c:pt idx="3">
                  <c:v>-0.15777049008629393</c:v>
                </c:pt>
                <c:pt idx="4">
                  <c:v>-0.15777109353986385</c:v>
                </c:pt>
                <c:pt idx="5">
                  <c:v>-0.15778376606483241</c:v>
                </c:pt>
                <c:pt idx="6">
                  <c:v>-0.1579581641465426</c:v>
                </c:pt>
                <c:pt idx="7">
                  <c:v>-0.15837877128478481</c:v>
                </c:pt>
                <c:pt idx="8">
                  <c:v>-0.15858273859142163</c:v>
                </c:pt>
                <c:pt idx="9">
                  <c:v>-0.16400537237082544</c:v>
                </c:pt>
                <c:pt idx="10">
                  <c:v>-0.16496124282559682</c:v>
                </c:pt>
                <c:pt idx="11">
                  <c:v>-0.16570228380947261</c:v>
                </c:pt>
                <c:pt idx="12">
                  <c:v>-0.16570771489160199</c:v>
                </c:pt>
                <c:pt idx="13">
                  <c:v>-0.16573185303439925</c:v>
                </c:pt>
                <c:pt idx="14">
                  <c:v>-0.16593521688746615</c:v>
                </c:pt>
                <c:pt idx="15">
                  <c:v>-0.16593521688746615</c:v>
                </c:pt>
                <c:pt idx="16">
                  <c:v>-0.16593521688746615</c:v>
                </c:pt>
                <c:pt idx="17">
                  <c:v>-0.16593521688746615</c:v>
                </c:pt>
                <c:pt idx="18">
                  <c:v>-0.16609392517635813</c:v>
                </c:pt>
                <c:pt idx="19">
                  <c:v>-0.1661011666191973</c:v>
                </c:pt>
                <c:pt idx="20">
                  <c:v>-0.16629608212228514</c:v>
                </c:pt>
                <c:pt idx="21">
                  <c:v>-0.16630453047226418</c:v>
                </c:pt>
                <c:pt idx="22">
                  <c:v>-0.16630453047226418</c:v>
                </c:pt>
                <c:pt idx="23">
                  <c:v>-0.16630513392583413</c:v>
                </c:pt>
                <c:pt idx="24">
                  <c:v>-0.16631358227581317</c:v>
                </c:pt>
                <c:pt idx="25">
                  <c:v>-0.16632142717222226</c:v>
                </c:pt>
                <c:pt idx="26">
                  <c:v>-0.16632142717222226</c:v>
                </c:pt>
                <c:pt idx="27">
                  <c:v>-0.16632142717222226</c:v>
                </c:pt>
                <c:pt idx="28">
                  <c:v>-0.16645358350403724</c:v>
                </c:pt>
                <c:pt idx="29">
                  <c:v>-0.16651754958244996</c:v>
                </c:pt>
                <c:pt idx="30">
                  <c:v>-0.16671910307480708</c:v>
                </c:pt>
                <c:pt idx="31">
                  <c:v>-0.1668790182708389</c:v>
                </c:pt>
                <c:pt idx="32">
                  <c:v>-0.16689169079580746</c:v>
                </c:pt>
                <c:pt idx="33">
                  <c:v>-0.16690134605292636</c:v>
                </c:pt>
                <c:pt idx="34">
                  <c:v>-0.167054019806119</c:v>
                </c:pt>
                <c:pt idx="35">
                  <c:v>-0.1670823821239058</c:v>
                </c:pt>
                <c:pt idx="36">
                  <c:v>-0.16709686500958415</c:v>
                </c:pt>
                <c:pt idx="37">
                  <c:v>-0.16727005618415447</c:v>
                </c:pt>
                <c:pt idx="38">
                  <c:v>-0.16727065963772439</c:v>
                </c:pt>
                <c:pt idx="39">
                  <c:v>-0.16804187330009676</c:v>
                </c:pt>
                <c:pt idx="40">
                  <c:v>-0.16825549586385249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C8-4839-A860-D830A62F7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653352"/>
        <c:axId val="1"/>
      </c:scatterChart>
      <c:valAx>
        <c:axId val="402653352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6943060688842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4000000000000001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653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795961219133319"/>
          <c:y val="0.9204921861831491"/>
          <c:w val="0.3306126734158229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47625</xdr:rowOff>
    </xdr:from>
    <xdr:to>
      <xdr:col>18</xdr:col>
      <xdr:colOff>485775</xdr:colOff>
      <xdr:row>18</xdr:row>
      <xdr:rowOff>104775</xdr:rowOff>
    </xdr:to>
    <xdr:graphicFrame macro="">
      <xdr:nvGraphicFramePr>
        <xdr:cNvPr id="1031" name="Chart 4">
          <a:extLst>
            <a:ext uri="{FF2B5EF4-FFF2-40B4-BE49-F238E27FC236}">
              <a16:creationId xmlns:a16="http://schemas.microsoft.com/office/drawing/2014/main" id="{D014D6FB-D87A-392D-D470-0C260B8A0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200025</xdr:colOff>
      <xdr:row>20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0E693A-5D5E-73F7-9DC3-FA61554A0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152400</xdr:rowOff>
    </xdr:from>
    <xdr:to>
      <xdr:col>13</xdr:col>
      <xdr:colOff>161924</xdr:colOff>
      <xdr:row>41</xdr:row>
      <xdr:rowOff>28575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BCE16EF-C7BC-3769-D980-D563850DE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var.astro.cz/oejv/issues/oejv0094.pdf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690" TargetMode="External"/><Relationship Id="rId21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5690" TargetMode="External"/><Relationship Id="rId16" Type="http://schemas.openxmlformats.org/officeDocument/2006/relationships/hyperlink" Target="http://var.astro.cz/oejv/issues/oejv0094.pdf" TargetMode="External"/><Relationship Id="rId20" Type="http://schemas.openxmlformats.org/officeDocument/2006/relationships/hyperlink" Target="http://var.astro.cz/oejv/issues/oejv0107.pdf" TargetMode="External"/><Relationship Id="rId29" Type="http://schemas.openxmlformats.org/officeDocument/2006/relationships/hyperlink" Target="http://www.konkoly.hu/cgi-bin/IBVS?6063" TargetMode="External"/><Relationship Id="rId1" Type="http://schemas.openxmlformats.org/officeDocument/2006/relationships/hyperlink" Target="http://www.bav-astro.de/sfs/BAVM_link.php?BAVMnr=99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897" TargetMode="External"/><Relationship Id="rId24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094.pdf" TargetMode="External"/><Relationship Id="rId23" Type="http://schemas.openxmlformats.org/officeDocument/2006/relationships/hyperlink" Target="http://www.konkoly.hu/cgi-bin/IBVS?5990" TargetMode="External"/><Relationship Id="rId28" Type="http://schemas.openxmlformats.org/officeDocument/2006/relationships/hyperlink" Target="http://www.konkoly.hu/cgi-bin/IBVS?6063" TargetMode="External"/><Relationship Id="rId10" Type="http://schemas.openxmlformats.org/officeDocument/2006/relationships/hyperlink" Target="http://www.konkoly.hu/cgi-bin/IBVS?5897" TargetMode="External"/><Relationship Id="rId19" Type="http://schemas.openxmlformats.org/officeDocument/2006/relationships/hyperlink" Target="http://www.konkoly.hu/cgi-bin/IBVS?5897" TargetMode="External"/><Relationship Id="rId4" Type="http://schemas.openxmlformats.org/officeDocument/2006/relationships/hyperlink" Target="http://www.konkoly.hu/cgi-bin/IBVS?5741" TargetMode="External"/><Relationship Id="rId9" Type="http://schemas.openxmlformats.org/officeDocument/2006/relationships/hyperlink" Target="http://www.konkoly.hu/cgi-bin/IBVS?5760" TargetMode="External"/><Relationship Id="rId14" Type="http://schemas.openxmlformats.org/officeDocument/2006/relationships/hyperlink" Target="http://www.konkoly.hu/cgi-bin/IBVS?5897" TargetMode="External"/><Relationship Id="rId22" Type="http://schemas.openxmlformats.org/officeDocument/2006/relationships/hyperlink" Target="http://www.konkoly.hu/cgi-bin/IBVS?5992" TargetMode="External"/><Relationship Id="rId27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tabSelected="1" workbookViewId="0">
      <pane xSplit="13" ySplit="22" topLeftCell="N41" activePane="bottomRight" state="frozen"/>
      <selection pane="topRight" activeCell="N1" sqref="N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3.5703125" customWidth="1"/>
    <col min="5" max="5" width="9.140625" customWidth="1"/>
    <col min="6" max="6" width="15.5703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5" t="s">
        <v>39</v>
      </c>
    </row>
    <row r="2" spans="1:6" ht="12.95" customHeight="1" x14ac:dyDescent="0.2">
      <c r="A2" s="14" t="s">
        <v>17</v>
      </c>
      <c r="B2" s="14" t="s">
        <v>40</v>
      </c>
      <c r="C2" s="16" t="s">
        <v>41</v>
      </c>
      <c r="D2" s="16" t="s">
        <v>41</v>
      </c>
    </row>
    <row r="3" spans="1:6" ht="12.95" customHeight="1" thickBot="1" x14ac:dyDescent="0.25"/>
    <row r="4" spans="1:6" ht="12.95" customHeight="1" thickBot="1" x14ac:dyDescent="0.25">
      <c r="A4" s="6" t="s">
        <v>0</v>
      </c>
      <c r="C4" s="17">
        <v>38378.589999999997</v>
      </c>
      <c r="D4" s="18">
        <v>1.1388799999999999</v>
      </c>
    </row>
    <row r="5" spans="1:6" ht="12.95" customHeight="1" x14ac:dyDescent="0.2">
      <c r="A5" s="50" t="s">
        <v>203</v>
      </c>
      <c r="B5" s="14"/>
      <c r="C5" s="51">
        <v>-9.5</v>
      </c>
      <c r="D5" s="14" t="s">
        <v>204</v>
      </c>
    </row>
    <row r="6" spans="1:6" ht="12.95" customHeight="1" x14ac:dyDescent="0.2">
      <c r="A6" s="6" t="s">
        <v>1</v>
      </c>
    </row>
    <row r="7" spans="1:6" ht="12.95" customHeight="1" x14ac:dyDescent="0.2">
      <c r="A7" t="s">
        <v>2</v>
      </c>
      <c r="C7">
        <f>+C4</f>
        <v>38378.589999999997</v>
      </c>
    </row>
    <row r="8" spans="1:6" ht="12.95" customHeight="1" x14ac:dyDescent="0.2">
      <c r="A8" t="s">
        <v>3</v>
      </c>
      <c r="C8">
        <v>2.2777599999999998</v>
      </c>
    </row>
    <row r="9" spans="1:6" ht="12.95" customHeight="1" x14ac:dyDescent="0.2">
      <c r="A9" s="52" t="s">
        <v>205</v>
      </c>
      <c r="B9" s="52"/>
      <c r="C9" s="53">
        <v>32</v>
      </c>
      <c r="D9" s="53">
        <v>32</v>
      </c>
    </row>
    <row r="10" spans="1:6" ht="12.95" customHeight="1" thickBot="1" x14ac:dyDescent="0.25">
      <c r="C10" s="5" t="s">
        <v>19</v>
      </c>
      <c r="D10" s="5" t="s">
        <v>20</v>
      </c>
    </row>
    <row r="11" spans="1:6" ht="12.95" customHeight="1" x14ac:dyDescent="0.2">
      <c r="A11" t="s">
        <v>14</v>
      </c>
      <c r="C11" s="58">
        <f ca="1">INTERCEPT(INDIRECT(C14):R$935,INDIRECT(C13):$F$935)</f>
        <v>7.6850834881863228E-2</v>
      </c>
      <c r="D11" s="58">
        <f ca="1">INTERCEPT(INDIRECT(D14):S$935,INDIRECT(D13):$F$935)</f>
        <v>-0.15776686936487433</v>
      </c>
      <c r="E11" s="52" t="s">
        <v>208</v>
      </c>
      <c r="F11">
        <v>1</v>
      </c>
    </row>
    <row r="12" spans="1:6" ht="12.95" customHeight="1" x14ac:dyDescent="0.2">
      <c r="A12" t="s">
        <v>15</v>
      </c>
      <c r="C12" s="58">
        <f ca="1">SLOPE(INDIRECT(C14):R$935,INDIRECT(C13):$F$935)</f>
        <v>-1.3363108350666093E-5</v>
      </c>
      <c r="D12" s="58">
        <f ca="1">SLOPE(INDIRECT(D14):S$935,INDIRECT(D13):$F$935)</f>
        <v>-1.2069071398628574E-6</v>
      </c>
      <c r="E12" s="52" t="s">
        <v>209</v>
      </c>
      <c r="F12" s="54">
        <f ca="1">NOW()+15018.5+$C$5/24</f>
        <v>60336.81473460648</v>
      </c>
    </row>
    <row r="13" spans="1:6" ht="12.95" customHeight="1" x14ac:dyDescent="0.2">
      <c r="A13" s="52" t="s">
        <v>206</v>
      </c>
      <c r="B13" s="52"/>
      <c r="C13" s="53" t="str">
        <f>"F"&amp;C9</f>
        <v>F32</v>
      </c>
      <c r="D13" s="53" t="str">
        <f>"F"&amp;D9</f>
        <v>F32</v>
      </c>
      <c r="E13" s="52" t="s">
        <v>210</v>
      </c>
      <c r="F13" s="54">
        <f ca="1">ROUND(2*(F12-$C$7)/$C$8,0)/2+F11</f>
        <v>9641.5</v>
      </c>
    </row>
    <row r="14" spans="1:6" ht="12.95" customHeight="1" x14ac:dyDescent="0.2">
      <c r="A14" s="52" t="s">
        <v>207</v>
      </c>
      <c r="B14" s="52"/>
      <c r="C14" s="53" t="str">
        <f>"R"&amp;C9</f>
        <v>R32</v>
      </c>
      <c r="D14" s="53" t="str">
        <f>"S"&amp;D9</f>
        <v>S32</v>
      </c>
      <c r="E14" s="52" t="s">
        <v>211</v>
      </c>
      <c r="F14" s="11">
        <f ca="1">ROUND(2*(F12-$C$15)/$C$16,0)/2+F11</f>
        <v>951.5</v>
      </c>
    </row>
    <row r="15" spans="1:6" ht="12.95" customHeight="1" x14ac:dyDescent="0.2">
      <c r="A15" s="2" t="s">
        <v>16</v>
      </c>
      <c r="C15" s="12">
        <f ca="1">($C7+C11)+($C8+C12)*INT(MAX($F21:$F3533))</f>
        <v>58172.28512542331</v>
      </c>
      <c r="D15" s="12">
        <f ca="1">($C7+D11)+($C8+D12)*INT(MAX($F21:$F3533))</f>
        <v>58172.156145107583</v>
      </c>
      <c r="E15" s="52" t="s">
        <v>212</v>
      </c>
      <c r="F15" s="55">
        <f ca="1">+$C$15+$C$16*F14-15018.5-$C$5/24</f>
        <v>45321.456883759049</v>
      </c>
    </row>
    <row r="16" spans="1:6" ht="12.95" customHeight="1" x14ac:dyDescent="0.2">
      <c r="A16" s="6" t="s">
        <v>4</v>
      </c>
      <c r="C16" s="13">
        <f ca="1">+$C8+C12</f>
        <v>2.2777466368916492</v>
      </c>
      <c r="D16" s="11">
        <f ca="1">+$C8+D12</f>
        <v>2.2777587930928598</v>
      </c>
      <c r="E16" s="56"/>
      <c r="F16" s="56" t="s">
        <v>213</v>
      </c>
    </row>
    <row r="17" spans="1:19" ht="12.95" customHeight="1" thickBot="1" x14ac:dyDescent="0.25">
      <c r="A17" s="10" t="s">
        <v>28</v>
      </c>
      <c r="C17">
        <f>COUNT(C21:C1247)</f>
        <v>41</v>
      </c>
    </row>
    <row r="18" spans="1:19" ht="12.95" customHeight="1" thickTop="1" thickBot="1" x14ac:dyDescent="0.25">
      <c r="A18" s="6" t="s">
        <v>22</v>
      </c>
      <c r="C18" s="3">
        <f ca="1">+C15</f>
        <v>58172.28512542331</v>
      </c>
      <c r="D18" s="4">
        <f ca="1">+C16</f>
        <v>2.2777466368916492</v>
      </c>
      <c r="E18" s="57">
        <f>R19</f>
        <v>17</v>
      </c>
    </row>
    <row r="19" spans="1:19" ht="12.95" customHeight="1" thickTop="1" thickBot="1" x14ac:dyDescent="0.25">
      <c r="A19" s="6" t="s">
        <v>23</v>
      </c>
      <c r="C19" s="3">
        <f ca="1">+D15</f>
        <v>58172.156145107583</v>
      </c>
      <c r="D19" s="4">
        <f ca="1">+D16</f>
        <v>2.2777587930928598</v>
      </c>
      <c r="E19" s="57">
        <f>S19</f>
        <v>22</v>
      </c>
      <c r="R19">
        <f>COUNT(R21:R322)</f>
        <v>17</v>
      </c>
      <c r="S19">
        <f>COUNT(S21:S322)</f>
        <v>22</v>
      </c>
    </row>
    <row r="20" spans="1:19" ht="12.95" customHeight="1" thickTop="1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57</v>
      </c>
      <c r="I20" s="8" t="s">
        <v>60</v>
      </c>
      <c r="J20" s="8" t="s">
        <v>54</v>
      </c>
      <c r="K20" s="8" t="s">
        <v>52</v>
      </c>
      <c r="L20" s="8" t="s">
        <v>26</v>
      </c>
      <c r="M20" s="8" t="s">
        <v>18</v>
      </c>
      <c r="N20" s="8" t="s">
        <v>21</v>
      </c>
      <c r="O20" s="8" t="s">
        <v>24</v>
      </c>
      <c r="P20" s="7" t="s">
        <v>25</v>
      </c>
      <c r="Q20" s="5" t="s">
        <v>13</v>
      </c>
      <c r="R20" s="9" t="s">
        <v>19</v>
      </c>
      <c r="S20" s="9" t="s">
        <v>20</v>
      </c>
    </row>
    <row r="21" spans="1:19" ht="12.95" customHeight="1" x14ac:dyDescent="0.2">
      <c r="A21" s="19" t="s">
        <v>11</v>
      </c>
      <c r="B21" s="20"/>
      <c r="C21" s="21">
        <v>25244.652999999998</v>
      </c>
      <c r="D21" s="21" t="s">
        <v>27</v>
      </c>
      <c r="E21" s="22">
        <f t="shared" ref="E21:E60" si="0">+(C21-C$7)/C$8</f>
        <v>-5766.1636871312166</v>
      </c>
      <c r="F21" s="22">
        <f t="shared" ref="F21:F61" si="1">ROUND(2*E21,0)/2</f>
        <v>-5766</v>
      </c>
      <c r="G21" s="22">
        <f t="shared" ref="G21:G60" si="2">+C21-(C$7+F21*C$8)</f>
        <v>-0.37283999999999651</v>
      </c>
      <c r="H21" s="22">
        <f>+G21</f>
        <v>-0.37283999999999651</v>
      </c>
      <c r="I21" s="22"/>
      <c r="J21" s="22"/>
      <c r="K21" s="22"/>
      <c r="L21" s="22"/>
      <c r="M21" s="22"/>
      <c r="N21" s="22"/>
      <c r="O21">
        <f t="shared" ref="O21:O60" ca="1" si="3">+C$11+C$12*$F21</f>
        <v>0.1539025176318039</v>
      </c>
      <c r="P21">
        <f t="shared" ref="P21:P60" ca="1" si="4">+D$11+D$12*$F21</f>
        <v>-0.15080784279642509</v>
      </c>
      <c r="Q21" s="1">
        <f t="shared" ref="Q21:Q60" si="5">+C21-15018.5</f>
        <v>10226.152999999998</v>
      </c>
    </row>
    <row r="22" spans="1:19" ht="12.95" customHeight="1" x14ac:dyDescent="0.2">
      <c r="A22" s="46" t="s">
        <v>66</v>
      </c>
      <c r="B22" s="47" t="s">
        <v>33</v>
      </c>
      <c r="C22" s="46">
        <v>30463.37</v>
      </c>
      <c r="D22" s="46" t="s">
        <v>60</v>
      </c>
      <c r="E22" s="22">
        <f t="shared" si="0"/>
        <v>-3475.0017561112663</v>
      </c>
      <c r="F22" s="22">
        <f t="shared" si="1"/>
        <v>-3475</v>
      </c>
      <c r="G22" s="22">
        <f t="shared" si="2"/>
        <v>-3.9999999971769284E-3</v>
      </c>
      <c r="H22" s="22"/>
      <c r="I22" s="22">
        <f t="shared" ref="I22:I32" si="6">+G22</f>
        <v>-3.9999999971769284E-3</v>
      </c>
      <c r="J22" s="22"/>
      <c r="K22" s="22"/>
      <c r="L22" s="22"/>
      <c r="M22" s="22"/>
      <c r="N22" s="22"/>
      <c r="O22">
        <f t="shared" ca="1" si="3"/>
        <v>0.12328763640042791</v>
      </c>
      <c r="P22">
        <f t="shared" ca="1" si="4"/>
        <v>-0.1535728670538509</v>
      </c>
      <c r="Q22" s="1">
        <f t="shared" si="5"/>
        <v>15444.869999999999</v>
      </c>
      <c r="S22">
        <f>G22</f>
        <v>-3.9999999971769284E-3</v>
      </c>
    </row>
    <row r="23" spans="1:19" ht="12.95" customHeight="1" x14ac:dyDescent="0.2">
      <c r="A23" s="46" t="s">
        <v>71</v>
      </c>
      <c r="B23" s="47" t="s">
        <v>33</v>
      </c>
      <c r="C23" s="46">
        <v>38378.6</v>
      </c>
      <c r="D23" s="46" t="s">
        <v>60</v>
      </c>
      <c r="E23" s="22">
        <f t="shared" si="0"/>
        <v>4.3902781689191435E-3</v>
      </c>
      <c r="F23" s="22">
        <f t="shared" si="1"/>
        <v>0</v>
      </c>
      <c r="G23" s="22">
        <f t="shared" si="2"/>
        <v>1.0000000002037268E-2</v>
      </c>
      <c r="H23" s="22"/>
      <c r="I23" s="22">
        <f t="shared" si="6"/>
        <v>1.0000000002037268E-2</v>
      </c>
      <c r="J23" s="22"/>
      <c r="K23" s="22"/>
      <c r="L23" s="22"/>
      <c r="M23" s="22"/>
      <c r="N23" s="22"/>
      <c r="O23">
        <f t="shared" ca="1" si="3"/>
        <v>7.6850834881863228E-2</v>
      </c>
      <c r="P23">
        <f t="shared" ca="1" si="4"/>
        <v>-0.15776686936487433</v>
      </c>
      <c r="Q23" s="1">
        <f t="shared" si="5"/>
        <v>23360.1</v>
      </c>
      <c r="S23">
        <f>G23</f>
        <v>1.0000000002037268E-2</v>
      </c>
    </row>
    <row r="24" spans="1:19" ht="12.95" customHeight="1" x14ac:dyDescent="0.2">
      <c r="A24" s="48" t="s">
        <v>71</v>
      </c>
      <c r="B24" s="49" t="s">
        <v>33</v>
      </c>
      <c r="C24" s="48">
        <v>38385.42</v>
      </c>
      <c r="D24" s="48" t="s">
        <v>60</v>
      </c>
      <c r="E24" s="22">
        <f t="shared" si="0"/>
        <v>2.998559988761655</v>
      </c>
      <c r="F24" s="22">
        <f t="shared" si="1"/>
        <v>3</v>
      </c>
      <c r="G24" s="22">
        <f t="shared" si="2"/>
        <v>-3.2799999971757643E-3</v>
      </c>
      <c r="H24" s="22"/>
      <c r="I24" s="22">
        <f t="shared" si="6"/>
        <v>-3.2799999971757643E-3</v>
      </c>
      <c r="J24" s="22"/>
      <c r="K24" s="22"/>
      <c r="L24" s="22"/>
      <c r="M24" s="22"/>
      <c r="N24" s="22"/>
      <c r="O24">
        <f t="shared" ca="1" si="3"/>
        <v>7.6810745556811236E-2</v>
      </c>
      <c r="P24">
        <f t="shared" ca="1" si="4"/>
        <v>-0.15777049008629393</v>
      </c>
      <c r="Q24" s="1">
        <f t="shared" si="5"/>
        <v>23366.92</v>
      </c>
      <c r="S24">
        <f>G24</f>
        <v>-3.2799999971757643E-3</v>
      </c>
    </row>
    <row r="25" spans="1:19" ht="12.95" customHeight="1" x14ac:dyDescent="0.2">
      <c r="A25" s="46" t="s">
        <v>71</v>
      </c>
      <c r="B25" s="47" t="s">
        <v>30</v>
      </c>
      <c r="C25" s="46">
        <v>38386.519999999997</v>
      </c>
      <c r="D25" s="46" t="s">
        <v>60</v>
      </c>
      <c r="E25" s="22">
        <f t="shared" si="0"/>
        <v>3.4814905872437358</v>
      </c>
      <c r="F25" s="22">
        <f t="shared" si="1"/>
        <v>3.5</v>
      </c>
      <c r="G25" s="22">
        <f t="shared" si="2"/>
        <v>-4.2159999997238629E-2</v>
      </c>
      <c r="H25" s="22"/>
      <c r="I25" s="22">
        <f t="shared" si="6"/>
        <v>-4.2159999997238629E-2</v>
      </c>
      <c r="J25" s="22"/>
      <c r="K25" s="22"/>
      <c r="L25" s="22"/>
      <c r="M25" s="22"/>
      <c r="N25" s="22"/>
      <c r="O25">
        <f t="shared" ca="1" si="3"/>
        <v>7.6804064002635897E-2</v>
      </c>
      <c r="P25">
        <f t="shared" ca="1" si="4"/>
        <v>-0.15777109353986385</v>
      </c>
      <c r="Q25" s="1">
        <f t="shared" si="5"/>
        <v>23368.019999999997</v>
      </c>
      <c r="R25">
        <f>G25</f>
        <v>-4.2159999997238629E-2</v>
      </c>
    </row>
    <row r="26" spans="1:19" ht="12.95" customHeight="1" x14ac:dyDescent="0.2">
      <c r="A26" s="46" t="s">
        <v>71</v>
      </c>
      <c r="B26" s="47" t="s">
        <v>33</v>
      </c>
      <c r="C26" s="46">
        <v>38410.47</v>
      </c>
      <c r="D26" s="46" t="s">
        <v>60</v>
      </c>
      <c r="E26" s="22">
        <f t="shared" si="0"/>
        <v>13.996206799664872</v>
      </c>
      <c r="F26" s="22">
        <f t="shared" si="1"/>
        <v>14</v>
      </c>
      <c r="G26" s="22">
        <f t="shared" si="2"/>
        <v>-8.6399999927380122E-3</v>
      </c>
      <c r="H26" s="22"/>
      <c r="I26" s="22">
        <f t="shared" si="6"/>
        <v>-8.6399999927380122E-3</v>
      </c>
      <c r="J26" s="22"/>
      <c r="K26" s="22"/>
      <c r="L26" s="22"/>
      <c r="M26" s="22"/>
      <c r="N26" s="22"/>
      <c r="O26">
        <f t="shared" ca="1" si="3"/>
        <v>7.6663751364953903E-2</v>
      </c>
      <c r="P26">
        <f t="shared" ca="1" si="4"/>
        <v>-0.15778376606483241</v>
      </c>
      <c r="Q26" s="1">
        <f t="shared" si="5"/>
        <v>23391.97</v>
      </c>
      <c r="S26">
        <f>G26</f>
        <v>-8.6399999927380122E-3</v>
      </c>
    </row>
    <row r="27" spans="1:19" ht="12.95" customHeight="1" x14ac:dyDescent="0.2">
      <c r="A27" s="46" t="s">
        <v>66</v>
      </c>
      <c r="B27" s="47" t="s">
        <v>30</v>
      </c>
      <c r="C27" s="46">
        <v>38739.53</v>
      </c>
      <c r="D27" s="46" t="s">
        <v>60</v>
      </c>
      <c r="E27" s="22">
        <f t="shared" si="0"/>
        <v>158.46270019668549</v>
      </c>
      <c r="F27" s="22">
        <f t="shared" si="1"/>
        <v>158.5</v>
      </c>
      <c r="G27" s="22">
        <f t="shared" si="2"/>
        <v>-8.496000000013737E-2</v>
      </c>
      <c r="H27" s="22"/>
      <c r="I27" s="22">
        <f t="shared" si="6"/>
        <v>-8.496000000013737E-2</v>
      </c>
      <c r="J27" s="22"/>
      <c r="K27" s="22"/>
      <c r="L27" s="22"/>
      <c r="M27" s="22"/>
      <c r="N27" s="22"/>
      <c r="O27">
        <f t="shared" ca="1" si="3"/>
        <v>7.4732782208282653E-2</v>
      </c>
      <c r="P27">
        <f t="shared" ca="1" si="4"/>
        <v>-0.1579581641465426</v>
      </c>
      <c r="Q27" s="1">
        <f t="shared" si="5"/>
        <v>23721.03</v>
      </c>
      <c r="R27">
        <f>G27</f>
        <v>-8.496000000013737E-2</v>
      </c>
    </row>
    <row r="28" spans="1:19" ht="12.95" customHeight="1" x14ac:dyDescent="0.2">
      <c r="A28" s="46" t="s">
        <v>71</v>
      </c>
      <c r="B28" s="47" t="s">
        <v>33</v>
      </c>
      <c r="C28" s="46">
        <v>39533.47</v>
      </c>
      <c r="D28" s="46" t="s">
        <v>60</v>
      </c>
      <c r="E28" s="22">
        <f t="shared" si="0"/>
        <v>507.02444506884166</v>
      </c>
      <c r="F28" s="22">
        <f t="shared" si="1"/>
        <v>507</v>
      </c>
      <c r="G28" s="22">
        <f t="shared" si="2"/>
        <v>5.5680000004940666E-2</v>
      </c>
      <c r="H28" s="22"/>
      <c r="I28" s="22">
        <f t="shared" si="6"/>
        <v>5.5680000004940666E-2</v>
      </c>
      <c r="J28" s="22"/>
      <c r="K28" s="22"/>
      <c r="L28" s="22"/>
      <c r="M28" s="22"/>
      <c r="N28" s="22"/>
      <c r="O28">
        <f t="shared" ca="1" si="3"/>
        <v>7.0075738948075519E-2</v>
      </c>
      <c r="P28">
        <f t="shared" ca="1" si="4"/>
        <v>-0.15837877128478481</v>
      </c>
      <c r="Q28" s="1">
        <f t="shared" si="5"/>
        <v>24514.97</v>
      </c>
      <c r="S28">
        <f>G28</f>
        <v>5.5680000004940666E-2</v>
      </c>
    </row>
    <row r="29" spans="1:19" ht="12.95" customHeight="1" x14ac:dyDescent="0.2">
      <c r="A29" s="46" t="s">
        <v>71</v>
      </c>
      <c r="B29" s="47" t="s">
        <v>33</v>
      </c>
      <c r="C29" s="46">
        <v>39918.370000000003</v>
      </c>
      <c r="D29" s="46" t="s">
        <v>60</v>
      </c>
      <c r="E29" s="22">
        <f t="shared" si="0"/>
        <v>676.00625175611401</v>
      </c>
      <c r="F29" s="22">
        <f t="shared" si="1"/>
        <v>676</v>
      </c>
      <c r="G29" s="22">
        <f t="shared" si="2"/>
        <v>1.4240000004065223E-2</v>
      </c>
      <c r="H29" s="22"/>
      <c r="I29" s="22">
        <f t="shared" si="6"/>
        <v>1.4240000004065223E-2</v>
      </c>
      <c r="J29" s="22"/>
      <c r="K29" s="22"/>
      <c r="L29" s="22"/>
      <c r="M29" s="22"/>
      <c r="N29" s="22"/>
      <c r="O29">
        <f t="shared" ca="1" si="3"/>
        <v>6.781737363681295E-2</v>
      </c>
      <c r="P29">
        <f t="shared" ca="1" si="4"/>
        <v>-0.15858273859142163</v>
      </c>
      <c r="Q29" s="1">
        <f t="shared" si="5"/>
        <v>24899.870000000003</v>
      </c>
      <c r="S29">
        <f>G29</f>
        <v>1.4240000004065223E-2</v>
      </c>
    </row>
    <row r="30" spans="1:19" ht="12.95" customHeight="1" x14ac:dyDescent="0.2">
      <c r="A30" s="21" t="s">
        <v>29</v>
      </c>
      <c r="B30" s="23" t="s">
        <v>30</v>
      </c>
      <c r="C30" s="24">
        <v>50152.332499999997</v>
      </c>
      <c r="D30" s="24" t="s">
        <v>31</v>
      </c>
      <c r="E30" s="22">
        <f t="shared" si="0"/>
        <v>5169.0004653694868</v>
      </c>
      <c r="F30" s="22">
        <f t="shared" si="1"/>
        <v>5169</v>
      </c>
      <c r="G30" s="22">
        <f t="shared" si="2"/>
        <v>1.0600000023259781E-3</v>
      </c>
      <c r="H30" s="22"/>
      <c r="I30" s="22">
        <f t="shared" si="6"/>
        <v>1.0600000023259781E-3</v>
      </c>
      <c r="J30" s="22"/>
      <c r="K30" s="22"/>
      <c r="L30" s="22"/>
      <c r="M30" s="22"/>
      <c r="N30" s="22"/>
      <c r="O30">
        <f t="shared" ca="1" si="3"/>
        <v>7.7769278172701989E-3</v>
      </c>
      <c r="P30">
        <f t="shared" ca="1" si="4"/>
        <v>-0.16400537237082544</v>
      </c>
      <c r="Q30" s="1">
        <f t="shared" si="5"/>
        <v>35133.832499999997</v>
      </c>
      <c r="R30">
        <f>G30</f>
        <v>1.0600000023259781E-3</v>
      </c>
    </row>
    <row r="31" spans="1:19" ht="12.95" customHeight="1" x14ac:dyDescent="0.2">
      <c r="A31" s="46" t="s">
        <v>100</v>
      </c>
      <c r="B31" s="47" t="s">
        <v>33</v>
      </c>
      <c r="C31" s="46">
        <v>51956.31</v>
      </c>
      <c r="D31" s="46" t="s">
        <v>60</v>
      </c>
      <c r="E31" s="22">
        <f t="shared" si="0"/>
        <v>5960.9967687552698</v>
      </c>
      <c r="F31" s="22">
        <f t="shared" si="1"/>
        <v>5961</v>
      </c>
      <c r="G31" s="22">
        <f t="shared" si="2"/>
        <v>-7.3599999959697016E-3</v>
      </c>
      <c r="H31" s="22"/>
      <c r="I31" s="22">
        <f t="shared" si="6"/>
        <v>-7.3599999959697016E-3</v>
      </c>
      <c r="J31" s="22"/>
      <c r="K31" s="22"/>
      <c r="L31" s="22"/>
      <c r="M31" s="22"/>
      <c r="N31" s="22"/>
      <c r="O31">
        <f t="shared" ca="1" si="3"/>
        <v>-2.8066539964573534E-3</v>
      </c>
      <c r="P31">
        <f t="shared" ca="1" si="4"/>
        <v>-0.16496124282559682</v>
      </c>
      <c r="Q31" s="1">
        <f t="shared" si="5"/>
        <v>36937.81</v>
      </c>
      <c r="S31">
        <f>G31</f>
        <v>-7.3599999959697016E-3</v>
      </c>
    </row>
    <row r="32" spans="1:19" ht="12.95" customHeight="1" x14ac:dyDescent="0.2">
      <c r="A32" s="21" t="s">
        <v>32</v>
      </c>
      <c r="B32" s="23" t="s">
        <v>33</v>
      </c>
      <c r="C32" s="24">
        <v>53354.848700000002</v>
      </c>
      <c r="D32" s="24">
        <v>2.0000000000000001E-4</v>
      </c>
      <c r="E32" s="22">
        <f t="shared" si="0"/>
        <v>6574.9941609300395</v>
      </c>
      <c r="F32" s="22">
        <f t="shared" si="1"/>
        <v>6575</v>
      </c>
      <c r="G32" s="22">
        <f t="shared" si="2"/>
        <v>-1.3299999991431832E-2</v>
      </c>
      <c r="H32" s="22"/>
      <c r="I32" s="22">
        <f t="shared" si="6"/>
        <v>-1.3299999991431832E-2</v>
      </c>
      <c r="J32" s="22"/>
      <c r="K32" s="22"/>
      <c r="L32" s="22"/>
      <c r="M32" s="22"/>
      <c r="N32" s="22"/>
      <c r="O32">
        <f t="shared" ca="1" si="3"/>
        <v>-1.1011602523766331E-2</v>
      </c>
      <c r="P32">
        <f t="shared" ca="1" si="4"/>
        <v>-0.16570228380947261</v>
      </c>
      <c r="Q32" s="1">
        <f t="shared" si="5"/>
        <v>38336.348700000002</v>
      </c>
      <c r="R32">
        <f>G32</f>
        <v>-1.3299999991431832E-2</v>
      </c>
    </row>
    <row r="33" spans="1:19" ht="12.95" customHeight="1" x14ac:dyDescent="0.2">
      <c r="A33" s="28" t="s">
        <v>32</v>
      </c>
      <c r="B33" s="29" t="s">
        <v>30</v>
      </c>
      <c r="C33" s="28">
        <v>53364.9467</v>
      </c>
      <c r="D33" s="28">
        <v>2.0000000000000001E-4</v>
      </c>
      <c r="E33" s="22">
        <f t="shared" si="0"/>
        <v>6579.4274638241104</v>
      </c>
      <c r="F33" s="22">
        <f t="shared" si="1"/>
        <v>6579.5</v>
      </c>
      <c r="G33" s="22">
        <f t="shared" si="2"/>
        <v>-0.16521999999531545</v>
      </c>
      <c r="H33" s="22">
        <f>+G33</f>
        <v>-0.16521999999531545</v>
      </c>
      <c r="I33" s="22"/>
      <c r="J33" s="22"/>
      <c r="K33" s="22"/>
      <c r="L33" s="22"/>
      <c r="M33" s="22"/>
      <c r="N33" s="22"/>
      <c r="O33">
        <f t="shared" ca="1" si="3"/>
        <v>-1.1071736511344327E-2</v>
      </c>
      <c r="P33">
        <f t="shared" ca="1" si="4"/>
        <v>-0.16570771489160199</v>
      </c>
      <c r="Q33" s="1">
        <f t="shared" si="5"/>
        <v>38346.4467</v>
      </c>
      <c r="S33">
        <f>G33</f>
        <v>-0.16521999999531545</v>
      </c>
    </row>
    <row r="34" spans="1:19" ht="12.95" customHeight="1" x14ac:dyDescent="0.2">
      <c r="A34" s="21" t="s">
        <v>34</v>
      </c>
      <c r="B34" s="23" t="s">
        <v>30</v>
      </c>
      <c r="C34" s="24">
        <v>53410.500800000002</v>
      </c>
      <c r="D34" s="24">
        <v>4.0000000000000002E-4</v>
      </c>
      <c r="E34" s="22">
        <f t="shared" si="0"/>
        <v>6599.4269808935123</v>
      </c>
      <c r="F34" s="22">
        <f t="shared" si="1"/>
        <v>6599.5</v>
      </c>
      <c r="G34" s="22">
        <f t="shared" si="2"/>
        <v>-0.16631999999663094</v>
      </c>
      <c r="H34" s="22"/>
      <c r="I34" s="22">
        <f>+G34</f>
        <v>-0.16631999999663094</v>
      </c>
      <c r="J34" s="22"/>
      <c r="K34" s="22"/>
      <c r="L34" s="22"/>
      <c r="M34" s="22"/>
      <c r="N34" s="22"/>
      <c r="O34">
        <f t="shared" ca="1" si="3"/>
        <v>-1.1338998678357651E-2</v>
      </c>
      <c r="P34">
        <f t="shared" ca="1" si="4"/>
        <v>-0.16573185303439925</v>
      </c>
      <c r="Q34" s="1">
        <f t="shared" si="5"/>
        <v>38392.000800000002</v>
      </c>
      <c r="S34">
        <f>G34</f>
        <v>-0.16631999999663094</v>
      </c>
    </row>
    <row r="35" spans="1:19" ht="12.95" customHeight="1" x14ac:dyDescent="0.2">
      <c r="A35" s="25" t="s">
        <v>36</v>
      </c>
      <c r="B35" s="26" t="s">
        <v>33</v>
      </c>
      <c r="C35" s="25">
        <v>53794.456429999998</v>
      </c>
      <c r="D35" s="25">
        <v>3.5000000000000001E-3</v>
      </c>
      <c r="E35" s="22">
        <f t="shared" si="0"/>
        <v>6767.994182881429</v>
      </c>
      <c r="F35" s="22">
        <f t="shared" si="1"/>
        <v>6768</v>
      </c>
      <c r="G35" s="22">
        <f t="shared" si="2"/>
        <v>-1.3249999996332917E-2</v>
      </c>
      <c r="H35" s="22"/>
      <c r="I35" s="22"/>
      <c r="J35" s="22">
        <f>+G35</f>
        <v>-1.3249999996332917E-2</v>
      </c>
      <c r="K35" s="22"/>
      <c r="L35" s="22"/>
      <c r="M35" s="22"/>
      <c r="N35" s="22"/>
      <c r="O35">
        <f t="shared" ca="1" si="3"/>
        <v>-1.3590682435444895E-2</v>
      </c>
      <c r="P35">
        <f t="shared" ca="1" si="4"/>
        <v>-0.16593521688746615</v>
      </c>
      <c r="Q35" s="1">
        <f t="shared" si="5"/>
        <v>38775.956429999998</v>
      </c>
      <c r="R35">
        <f>G35</f>
        <v>-1.3249999996332917E-2</v>
      </c>
    </row>
    <row r="36" spans="1:19" ht="12.95" customHeight="1" x14ac:dyDescent="0.2">
      <c r="A36" s="25" t="s">
        <v>36</v>
      </c>
      <c r="B36" s="26" t="s">
        <v>33</v>
      </c>
      <c r="C36" s="25">
        <v>53794.457119999999</v>
      </c>
      <c r="D36" s="25">
        <v>3.7000000000000002E-3</v>
      </c>
      <c r="E36" s="22">
        <f t="shared" si="0"/>
        <v>6767.9944858106228</v>
      </c>
      <c r="F36" s="22">
        <f t="shared" si="1"/>
        <v>6768</v>
      </c>
      <c r="G36" s="22">
        <f t="shared" si="2"/>
        <v>-1.2559999995573889E-2</v>
      </c>
      <c r="H36" s="22"/>
      <c r="I36" s="22"/>
      <c r="J36" s="22">
        <f>+G36</f>
        <v>-1.2559999995573889E-2</v>
      </c>
      <c r="K36" s="22"/>
      <c r="L36" s="22"/>
      <c r="M36" s="22"/>
      <c r="N36" s="22"/>
      <c r="O36">
        <f t="shared" ca="1" si="3"/>
        <v>-1.3590682435444895E-2</v>
      </c>
      <c r="P36">
        <f t="shared" ca="1" si="4"/>
        <v>-0.16593521688746615</v>
      </c>
      <c r="Q36" s="1">
        <f t="shared" si="5"/>
        <v>38775.957119999999</v>
      </c>
      <c r="R36">
        <f>G36</f>
        <v>-1.2559999995573889E-2</v>
      </c>
    </row>
    <row r="37" spans="1:19" ht="12.95" customHeight="1" x14ac:dyDescent="0.2">
      <c r="A37" s="25" t="s">
        <v>36</v>
      </c>
      <c r="B37" s="26" t="s">
        <v>33</v>
      </c>
      <c r="C37" s="25">
        <v>53794.457820000003</v>
      </c>
      <c r="D37" s="25">
        <v>3.0999999999999999E-3</v>
      </c>
      <c r="E37" s="22">
        <f t="shared" si="0"/>
        <v>6767.9947931300967</v>
      </c>
      <c r="F37" s="22">
        <f t="shared" si="1"/>
        <v>6768</v>
      </c>
      <c r="G37" s="22">
        <f t="shared" si="2"/>
        <v>-1.1859999991429504E-2</v>
      </c>
      <c r="H37" s="22"/>
      <c r="I37" s="22"/>
      <c r="J37" s="22">
        <f>+G37</f>
        <v>-1.1859999991429504E-2</v>
      </c>
      <c r="K37" s="22"/>
      <c r="L37" s="22"/>
      <c r="M37" s="22"/>
      <c r="N37" s="22"/>
      <c r="O37">
        <f t="shared" ca="1" si="3"/>
        <v>-1.3590682435444895E-2</v>
      </c>
      <c r="P37">
        <f t="shared" ca="1" si="4"/>
        <v>-0.16593521688746615</v>
      </c>
      <c r="Q37" s="1">
        <f t="shared" si="5"/>
        <v>38775.957820000003</v>
      </c>
      <c r="R37">
        <f>G37</f>
        <v>-1.1859999991429504E-2</v>
      </c>
    </row>
    <row r="38" spans="1:19" ht="12.95" customHeight="1" x14ac:dyDescent="0.2">
      <c r="A38" s="25" t="s">
        <v>36</v>
      </c>
      <c r="B38" s="26" t="s">
        <v>33</v>
      </c>
      <c r="C38" s="25">
        <v>53794.457820000003</v>
      </c>
      <c r="D38" s="25">
        <v>3.3E-3</v>
      </c>
      <c r="E38" s="22">
        <f t="shared" si="0"/>
        <v>6767.9947931300967</v>
      </c>
      <c r="F38" s="22">
        <f t="shared" si="1"/>
        <v>6768</v>
      </c>
      <c r="G38" s="22">
        <f t="shared" si="2"/>
        <v>-1.1859999991429504E-2</v>
      </c>
      <c r="H38" s="22"/>
      <c r="I38" s="22"/>
      <c r="J38" s="22">
        <f>+G38</f>
        <v>-1.1859999991429504E-2</v>
      </c>
      <c r="K38" s="22"/>
      <c r="L38" s="22"/>
      <c r="M38" s="22"/>
      <c r="N38" s="22"/>
      <c r="O38">
        <f t="shared" ca="1" si="3"/>
        <v>-1.3590682435444895E-2</v>
      </c>
      <c r="P38">
        <f t="shared" ca="1" si="4"/>
        <v>-0.16593521688746615</v>
      </c>
      <c r="Q38" s="1">
        <f t="shared" si="5"/>
        <v>38775.957820000003</v>
      </c>
      <c r="R38">
        <f>G38</f>
        <v>-1.1859999991429504E-2</v>
      </c>
    </row>
    <row r="39" spans="1:19" ht="12.95" customHeight="1" x14ac:dyDescent="0.2">
      <c r="A39" s="21" t="s">
        <v>35</v>
      </c>
      <c r="B39" s="23" t="s">
        <v>30</v>
      </c>
      <c r="C39" s="24">
        <v>54093.981899999999</v>
      </c>
      <c r="D39" s="24">
        <v>1E-4</v>
      </c>
      <c r="E39" s="22">
        <f t="shared" si="0"/>
        <v>6899.4941960522638</v>
      </c>
      <c r="F39" s="22">
        <f t="shared" si="1"/>
        <v>6899.5</v>
      </c>
      <c r="G39" s="22">
        <f t="shared" si="2"/>
        <v>-1.3219999993452802E-2</v>
      </c>
      <c r="H39" s="22">
        <f>+G39</f>
        <v>-1.3219999993452802E-2</v>
      </c>
      <c r="I39" s="22"/>
      <c r="J39" s="22"/>
      <c r="K39" s="22"/>
      <c r="L39" s="22"/>
      <c r="M39" s="22"/>
      <c r="N39" s="22"/>
      <c r="O39">
        <f t="shared" ca="1" si="3"/>
        <v>-1.5347931183557484E-2</v>
      </c>
      <c r="P39">
        <f t="shared" ca="1" si="4"/>
        <v>-0.16609392517635813</v>
      </c>
      <c r="Q39" s="1">
        <f t="shared" si="5"/>
        <v>39075.481899999999</v>
      </c>
    </row>
    <row r="40" spans="1:19" ht="12.95" customHeight="1" x14ac:dyDescent="0.2">
      <c r="A40" s="27" t="s">
        <v>37</v>
      </c>
      <c r="B40" s="23" t="s">
        <v>30</v>
      </c>
      <c r="C40" s="24">
        <v>54107.4977</v>
      </c>
      <c r="D40" s="24">
        <v>2.0000000000000001E-4</v>
      </c>
      <c r="E40" s="22">
        <f t="shared" si="0"/>
        <v>6905.4280082186033</v>
      </c>
      <c r="F40" s="22">
        <f t="shared" si="1"/>
        <v>6905.5</v>
      </c>
      <c r="G40" s="22">
        <f t="shared" si="2"/>
        <v>-0.16397999999753665</v>
      </c>
      <c r="H40" s="22">
        <f>+G40</f>
        <v>-0.16397999999753665</v>
      </c>
      <c r="I40" s="22"/>
      <c r="J40" s="22"/>
      <c r="K40" s="22"/>
      <c r="L40" s="22"/>
      <c r="M40" s="22"/>
      <c r="N40" s="22"/>
      <c r="O40">
        <f t="shared" ca="1" si="3"/>
        <v>-1.5428109833661482E-2</v>
      </c>
      <c r="P40">
        <f t="shared" ca="1" si="4"/>
        <v>-0.1661011666191973</v>
      </c>
      <c r="Q40" s="1">
        <f t="shared" si="5"/>
        <v>39088.9977</v>
      </c>
      <c r="S40">
        <f>G40</f>
        <v>-0.16397999999753665</v>
      </c>
    </row>
    <row r="41" spans="1:19" ht="12.95" customHeight="1" x14ac:dyDescent="0.2">
      <c r="A41" s="27" t="s">
        <v>37</v>
      </c>
      <c r="B41" s="23" t="s">
        <v>33</v>
      </c>
      <c r="C41" s="24">
        <v>54475.501499999998</v>
      </c>
      <c r="D41" s="24">
        <v>8.9999999999999998E-4</v>
      </c>
      <c r="E41" s="22">
        <f t="shared" si="0"/>
        <v>7066.9919131076158</v>
      </c>
      <c r="F41" s="22">
        <f t="shared" si="1"/>
        <v>7067</v>
      </c>
      <c r="G41" s="22">
        <f t="shared" si="2"/>
        <v>-1.841999999305699E-2</v>
      </c>
      <c r="H41" s="22">
        <f>+G41</f>
        <v>-1.841999999305699E-2</v>
      </c>
      <c r="I41" s="22"/>
      <c r="J41" s="22"/>
      <c r="K41" s="22"/>
      <c r="L41" s="22"/>
      <c r="M41" s="22"/>
      <c r="N41" s="22"/>
      <c r="O41">
        <f t="shared" ca="1" si="3"/>
        <v>-1.758625183229405E-2</v>
      </c>
      <c r="P41">
        <f t="shared" ca="1" si="4"/>
        <v>-0.16629608212228514</v>
      </c>
      <c r="Q41" s="1">
        <f t="shared" si="5"/>
        <v>39457.001499999998</v>
      </c>
      <c r="R41">
        <f>G41</f>
        <v>-1.841999999305699E-2</v>
      </c>
    </row>
    <row r="42" spans="1:19" ht="12.95" customHeight="1" x14ac:dyDescent="0.2">
      <c r="A42" s="21" t="s">
        <v>38</v>
      </c>
      <c r="B42" s="20" t="s">
        <v>33</v>
      </c>
      <c r="C42" s="21">
        <v>54491.445019999999</v>
      </c>
      <c r="D42" s="21">
        <v>5.0000000000000001E-4</v>
      </c>
      <c r="E42" s="22">
        <f t="shared" si="0"/>
        <v>7073.9915618853629</v>
      </c>
      <c r="F42" s="22">
        <f t="shared" si="1"/>
        <v>7074</v>
      </c>
      <c r="G42" s="22">
        <f t="shared" si="2"/>
        <v>-1.9219999994675163E-2</v>
      </c>
      <c r="H42" s="22"/>
      <c r="I42" s="22"/>
      <c r="J42" s="22">
        <f>+G42</f>
        <v>-1.9219999994675163E-2</v>
      </c>
      <c r="K42" s="22"/>
      <c r="L42" s="22"/>
      <c r="M42" s="22"/>
      <c r="N42" s="22"/>
      <c r="O42">
        <f t="shared" ca="1" si="3"/>
        <v>-1.7679793590748713E-2</v>
      </c>
      <c r="P42">
        <f t="shared" ca="1" si="4"/>
        <v>-0.16630453047226418</v>
      </c>
      <c r="Q42" s="1">
        <f t="shared" si="5"/>
        <v>39472.945019999999</v>
      </c>
      <c r="R42">
        <f>G42</f>
        <v>-1.9219999994675163E-2</v>
      </c>
    </row>
    <row r="43" spans="1:19" ht="12.95" customHeight="1" x14ac:dyDescent="0.2">
      <c r="A43" s="21" t="s">
        <v>38</v>
      </c>
      <c r="B43" s="20" t="s">
        <v>33</v>
      </c>
      <c r="C43" s="21">
        <v>54491.44642</v>
      </c>
      <c r="D43" s="21">
        <v>5.9999999999999995E-4</v>
      </c>
      <c r="E43" s="22">
        <f t="shared" si="0"/>
        <v>7073.9921765243071</v>
      </c>
      <c r="F43" s="22">
        <f t="shared" si="1"/>
        <v>7074</v>
      </c>
      <c r="G43" s="22">
        <f t="shared" si="2"/>
        <v>-1.781999999366235E-2</v>
      </c>
      <c r="H43" s="22"/>
      <c r="I43" s="22"/>
      <c r="J43" s="22">
        <f>+G43</f>
        <v>-1.781999999366235E-2</v>
      </c>
      <c r="K43" s="22"/>
      <c r="L43" s="22"/>
      <c r="M43" s="22"/>
      <c r="N43" s="22"/>
      <c r="O43">
        <f t="shared" ca="1" si="3"/>
        <v>-1.7679793590748713E-2</v>
      </c>
      <c r="P43">
        <f t="shared" ca="1" si="4"/>
        <v>-0.16630453047226418</v>
      </c>
      <c r="Q43" s="1">
        <f t="shared" si="5"/>
        <v>39472.94642</v>
      </c>
      <c r="R43">
        <f>G43</f>
        <v>-1.781999999366235E-2</v>
      </c>
    </row>
    <row r="44" spans="1:19" ht="12.95" customHeight="1" x14ac:dyDescent="0.2">
      <c r="A44" s="27" t="s">
        <v>37</v>
      </c>
      <c r="B44" s="23" t="s">
        <v>30</v>
      </c>
      <c r="C44" s="24">
        <v>54492.435700000002</v>
      </c>
      <c r="D44" s="24">
        <v>2.9999999999999997E-4</v>
      </c>
      <c r="E44" s="22">
        <f t="shared" si="0"/>
        <v>7074.4264979629143</v>
      </c>
      <c r="F44" s="22">
        <f t="shared" si="1"/>
        <v>7074.5</v>
      </c>
      <c r="G44" s="22">
        <f t="shared" si="2"/>
        <v>-0.16741999999067048</v>
      </c>
      <c r="H44" s="22">
        <f>+G44</f>
        <v>-0.16741999999067048</v>
      </c>
      <c r="I44" s="22"/>
      <c r="J44" s="22"/>
      <c r="K44" s="22"/>
      <c r="L44" s="22"/>
      <c r="M44" s="22"/>
      <c r="N44" s="22"/>
      <c r="O44">
        <f t="shared" ca="1" si="3"/>
        <v>-1.7686475144924052E-2</v>
      </c>
      <c r="P44">
        <f t="shared" ca="1" si="4"/>
        <v>-0.16630513392583413</v>
      </c>
      <c r="Q44" s="1">
        <f t="shared" si="5"/>
        <v>39473.935700000002</v>
      </c>
      <c r="S44">
        <f>G44</f>
        <v>-0.16741999999067048</v>
      </c>
    </row>
    <row r="45" spans="1:19" ht="12.95" customHeight="1" x14ac:dyDescent="0.2">
      <c r="A45" s="21" t="s">
        <v>38</v>
      </c>
      <c r="B45" s="20" t="s">
        <v>30</v>
      </c>
      <c r="C45" s="21">
        <v>54508.381509999999</v>
      </c>
      <c r="D45" s="21">
        <v>2.0000000000000001E-4</v>
      </c>
      <c r="E45" s="22">
        <f t="shared" si="0"/>
        <v>7081.4271521143601</v>
      </c>
      <c r="F45" s="22">
        <f t="shared" si="1"/>
        <v>7081.5</v>
      </c>
      <c r="G45" s="22">
        <f t="shared" si="2"/>
        <v>-0.16592999999556923</v>
      </c>
      <c r="H45" s="22"/>
      <c r="I45" s="22"/>
      <c r="J45" s="22">
        <f>+G45</f>
        <v>-0.16592999999556923</v>
      </c>
      <c r="K45" s="22"/>
      <c r="L45" s="22"/>
      <c r="M45" s="22"/>
      <c r="N45" s="22"/>
      <c r="O45">
        <f t="shared" ca="1" si="3"/>
        <v>-1.7780016903378715E-2</v>
      </c>
      <c r="P45">
        <f t="shared" ca="1" si="4"/>
        <v>-0.16631358227581317</v>
      </c>
      <c r="Q45" s="1">
        <f t="shared" si="5"/>
        <v>39489.881509999999</v>
      </c>
      <c r="S45">
        <f>G45</f>
        <v>-0.16592999999556923</v>
      </c>
    </row>
    <row r="46" spans="1:19" ht="12.95" customHeight="1" x14ac:dyDescent="0.2">
      <c r="A46" s="21" t="s">
        <v>38</v>
      </c>
      <c r="B46" s="20" t="s">
        <v>33</v>
      </c>
      <c r="C46" s="21">
        <v>54523.334920000001</v>
      </c>
      <c r="D46" s="21">
        <v>1.2999999999999999E-3</v>
      </c>
      <c r="E46" s="22">
        <f t="shared" si="0"/>
        <v>7087.9921150604132</v>
      </c>
      <c r="F46" s="22">
        <f t="shared" si="1"/>
        <v>7088</v>
      </c>
      <c r="G46" s="22">
        <f t="shared" si="2"/>
        <v>-1.7959999990125652E-2</v>
      </c>
      <c r="H46" s="22"/>
      <c r="I46" s="22"/>
      <c r="J46" s="22">
        <f>+G46</f>
        <v>-1.7959999990125652E-2</v>
      </c>
      <c r="K46" s="22"/>
      <c r="L46" s="22"/>
      <c r="M46" s="22"/>
      <c r="N46" s="22"/>
      <c r="O46">
        <f t="shared" ca="1" si="3"/>
        <v>-1.7866877107658038E-2</v>
      </c>
      <c r="P46">
        <f t="shared" ca="1" si="4"/>
        <v>-0.16632142717222226</v>
      </c>
      <c r="Q46" s="1">
        <f t="shared" si="5"/>
        <v>39504.834920000001</v>
      </c>
      <c r="R46">
        <f>G46</f>
        <v>-1.7959999990125652E-2</v>
      </c>
    </row>
    <row r="47" spans="1:19" ht="12.95" customHeight="1" x14ac:dyDescent="0.2">
      <c r="A47" s="21" t="s">
        <v>38</v>
      </c>
      <c r="B47" s="20" t="s">
        <v>33</v>
      </c>
      <c r="C47" s="21">
        <v>54523.335019999999</v>
      </c>
      <c r="D47" s="21">
        <v>1.1000000000000001E-3</v>
      </c>
      <c r="E47" s="22">
        <f t="shared" si="0"/>
        <v>7087.9921589631931</v>
      </c>
      <c r="F47" s="22">
        <f t="shared" si="1"/>
        <v>7088</v>
      </c>
      <c r="G47" s="22">
        <f t="shared" si="2"/>
        <v>-1.7859999992651865E-2</v>
      </c>
      <c r="H47" s="22"/>
      <c r="I47" s="22"/>
      <c r="J47" s="22">
        <f>+G47</f>
        <v>-1.7859999992651865E-2</v>
      </c>
      <c r="K47" s="22"/>
      <c r="L47" s="22"/>
      <c r="M47" s="22"/>
      <c r="N47" s="22"/>
      <c r="O47">
        <f t="shared" ca="1" si="3"/>
        <v>-1.7866877107658038E-2</v>
      </c>
      <c r="P47">
        <f t="shared" ca="1" si="4"/>
        <v>-0.16632142717222226</v>
      </c>
      <c r="Q47" s="1">
        <f t="shared" si="5"/>
        <v>39504.835019999999</v>
      </c>
      <c r="R47">
        <f>G47</f>
        <v>-1.7859999992651865E-2</v>
      </c>
    </row>
    <row r="48" spans="1:19" ht="12.95" customHeight="1" x14ac:dyDescent="0.2">
      <c r="A48" s="21" t="s">
        <v>38</v>
      </c>
      <c r="B48" s="20" t="s">
        <v>33</v>
      </c>
      <c r="C48" s="21">
        <v>54523.335319999998</v>
      </c>
      <c r="D48" s="21">
        <v>8.0000000000000004E-4</v>
      </c>
      <c r="E48" s="22">
        <f t="shared" si="0"/>
        <v>7087.9922906715383</v>
      </c>
      <c r="F48" s="22">
        <f t="shared" si="1"/>
        <v>7088</v>
      </c>
      <c r="G48" s="22">
        <f t="shared" si="2"/>
        <v>-1.7559999992954545E-2</v>
      </c>
      <c r="H48" s="22"/>
      <c r="I48" s="22"/>
      <c r="J48" s="22">
        <f>+G48</f>
        <v>-1.7559999992954545E-2</v>
      </c>
      <c r="K48" s="22"/>
      <c r="L48" s="22"/>
      <c r="M48" s="22"/>
      <c r="N48" s="22"/>
      <c r="O48">
        <f t="shared" ca="1" si="3"/>
        <v>-1.7866877107658038E-2</v>
      </c>
      <c r="P48">
        <f t="shared" ca="1" si="4"/>
        <v>-0.16632142717222226</v>
      </c>
      <c r="Q48" s="1">
        <f t="shared" si="5"/>
        <v>39504.835319999998</v>
      </c>
      <c r="R48">
        <f>G48</f>
        <v>-1.7559999992954545E-2</v>
      </c>
    </row>
    <row r="49" spans="1:19" ht="12.95" customHeight="1" x14ac:dyDescent="0.2">
      <c r="A49" s="27" t="s">
        <v>37</v>
      </c>
      <c r="B49" s="23" t="s">
        <v>30</v>
      </c>
      <c r="C49" s="24">
        <v>54772.602500000001</v>
      </c>
      <c r="D49" s="24">
        <v>4.0000000000000002E-4</v>
      </c>
      <c r="E49" s="22">
        <f t="shared" si="0"/>
        <v>7197.4275165074487</v>
      </c>
      <c r="F49" s="22">
        <f t="shared" si="1"/>
        <v>7197.5</v>
      </c>
      <c r="G49" s="22">
        <f t="shared" si="2"/>
        <v>-0.16509999999107094</v>
      </c>
      <c r="H49" s="22">
        <f>+G49</f>
        <v>-0.16509999999107094</v>
      </c>
      <c r="I49" s="22"/>
      <c r="J49" s="22"/>
      <c r="K49" s="22"/>
      <c r="L49" s="22"/>
      <c r="M49" s="22"/>
      <c r="N49" s="22"/>
      <c r="O49">
        <f t="shared" ca="1" si="3"/>
        <v>-1.9330137472055975E-2</v>
      </c>
      <c r="P49">
        <f t="shared" ca="1" si="4"/>
        <v>-0.16645358350403724</v>
      </c>
      <c r="Q49" s="1">
        <f t="shared" si="5"/>
        <v>39754.102500000001</v>
      </c>
      <c r="S49">
        <f>G49</f>
        <v>-0.16509999999107094</v>
      </c>
    </row>
    <row r="50" spans="1:19" ht="12.95" customHeight="1" x14ac:dyDescent="0.2">
      <c r="A50" s="19" t="s">
        <v>42</v>
      </c>
      <c r="B50" s="20" t="s">
        <v>30</v>
      </c>
      <c r="C50" s="21">
        <v>54893.321329999999</v>
      </c>
      <c r="D50" s="21">
        <v>5.9999999999999995E-4</v>
      </c>
      <c r="E50" s="22">
        <f t="shared" si="0"/>
        <v>7250.4264408892968</v>
      </c>
      <c r="F50" s="22">
        <f t="shared" si="1"/>
        <v>7250.5</v>
      </c>
      <c r="G50" s="22">
        <f t="shared" si="2"/>
        <v>-0.16754999999102438</v>
      </c>
      <c r="H50" s="22"/>
      <c r="I50" s="22"/>
      <c r="J50" s="22">
        <f>+G50</f>
        <v>-0.16754999999102438</v>
      </c>
      <c r="K50" s="22"/>
      <c r="L50" s="22"/>
      <c r="M50" s="22"/>
      <c r="N50" s="22"/>
      <c r="O50">
        <f t="shared" ca="1" si="3"/>
        <v>-2.0038382214641284E-2</v>
      </c>
      <c r="P50">
        <f t="shared" ca="1" si="4"/>
        <v>-0.16651754958244996</v>
      </c>
      <c r="Q50" s="1">
        <f t="shared" si="5"/>
        <v>39874.821329999999</v>
      </c>
      <c r="S50">
        <f>G50</f>
        <v>-0.16754999999102438</v>
      </c>
    </row>
    <row r="51" spans="1:19" ht="12.95" customHeight="1" x14ac:dyDescent="0.2">
      <c r="A51" s="28" t="s">
        <v>43</v>
      </c>
      <c r="B51" s="29" t="s">
        <v>30</v>
      </c>
      <c r="C51" s="28">
        <v>55273.708100000003</v>
      </c>
      <c r="D51" s="28">
        <v>2.0000000000000001E-4</v>
      </c>
      <c r="E51" s="22">
        <f t="shared" si="0"/>
        <v>7417.4268140629429</v>
      </c>
      <c r="F51" s="22">
        <f t="shared" si="1"/>
        <v>7417.5</v>
      </c>
      <c r="G51" s="22">
        <f t="shared" si="2"/>
        <v>-0.16669999998703133</v>
      </c>
      <c r="H51" s="22">
        <f>+G51</f>
        <v>-0.16669999998703133</v>
      </c>
      <c r="I51" s="22"/>
      <c r="J51" s="22"/>
      <c r="K51" s="22"/>
      <c r="L51" s="22"/>
      <c r="M51" s="22"/>
      <c r="N51" s="22"/>
      <c r="O51">
        <f t="shared" ca="1" si="3"/>
        <v>-2.2270021309202512E-2</v>
      </c>
      <c r="P51">
        <f t="shared" ca="1" si="4"/>
        <v>-0.16671910307480708</v>
      </c>
      <c r="Q51" s="1">
        <f t="shared" si="5"/>
        <v>40255.208100000003</v>
      </c>
      <c r="S51">
        <f>G51</f>
        <v>-0.16669999998703133</v>
      </c>
    </row>
    <row r="52" spans="1:19" ht="12.95" customHeight="1" x14ac:dyDescent="0.2">
      <c r="A52" s="28" t="s">
        <v>45</v>
      </c>
      <c r="B52" s="29" t="s">
        <v>33</v>
      </c>
      <c r="C52" s="28">
        <v>55575.6535</v>
      </c>
      <c r="D52" s="28">
        <v>5.9999999999999995E-4</v>
      </c>
      <c r="E52" s="22">
        <f t="shared" si="0"/>
        <v>7549.9892438184906</v>
      </c>
      <c r="F52" s="22">
        <f t="shared" si="1"/>
        <v>7550</v>
      </c>
      <c r="G52" s="22">
        <f t="shared" si="2"/>
        <v>-2.4499999999534339E-2</v>
      </c>
      <c r="H52" s="22">
        <f>+G52</f>
        <v>-2.4499999999534339E-2</v>
      </c>
      <c r="I52" s="22"/>
      <c r="J52" s="22"/>
      <c r="K52" s="22"/>
      <c r="L52" s="22"/>
      <c r="M52" s="22"/>
      <c r="N52" s="22"/>
      <c r="O52">
        <f t="shared" ca="1" si="3"/>
        <v>-2.4040633165665778E-2</v>
      </c>
      <c r="P52">
        <f t="shared" ca="1" si="4"/>
        <v>-0.1668790182708389</v>
      </c>
      <c r="Q52" s="1">
        <f t="shared" si="5"/>
        <v>40557.1535</v>
      </c>
      <c r="R52">
        <f>G52</f>
        <v>-2.4499999999534339E-2</v>
      </c>
    </row>
    <row r="53" spans="1:19" ht="12.95" customHeight="1" x14ac:dyDescent="0.2">
      <c r="A53" s="30" t="s">
        <v>44</v>
      </c>
      <c r="B53" s="31" t="s">
        <v>30</v>
      </c>
      <c r="C53" s="30">
        <v>55599.427300000003</v>
      </c>
      <c r="D53" s="30">
        <v>2.0000000000000001E-4</v>
      </c>
      <c r="E53" s="22">
        <f t="shared" si="0"/>
        <v>7560.4266033295908</v>
      </c>
      <c r="F53" s="22">
        <f t="shared" si="1"/>
        <v>7560.5</v>
      </c>
      <c r="G53" s="22">
        <f t="shared" si="2"/>
        <v>-0.16717999999673339</v>
      </c>
      <c r="H53" s="22">
        <f>+G53</f>
        <v>-0.16717999999673339</v>
      </c>
      <c r="I53" s="22"/>
      <c r="J53" s="22"/>
      <c r="K53" s="22"/>
      <c r="L53" s="22"/>
      <c r="M53" s="22"/>
      <c r="N53" s="22"/>
      <c r="O53">
        <f t="shared" ca="1" si="3"/>
        <v>-2.4180945803347773E-2</v>
      </c>
      <c r="P53">
        <f t="shared" ca="1" si="4"/>
        <v>-0.16689169079580746</v>
      </c>
      <c r="Q53" s="1">
        <f t="shared" si="5"/>
        <v>40580.927300000003</v>
      </c>
      <c r="S53">
        <f>G53</f>
        <v>-0.16717999999673339</v>
      </c>
    </row>
    <row r="54" spans="1:19" ht="12.95" customHeight="1" x14ac:dyDescent="0.2">
      <c r="A54" s="28" t="s">
        <v>45</v>
      </c>
      <c r="B54" s="29" t="s">
        <v>30</v>
      </c>
      <c r="C54" s="28">
        <v>55617.649400000002</v>
      </c>
      <c r="D54" s="28">
        <v>5.0000000000000001E-4</v>
      </c>
      <c r="E54" s="22">
        <f t="shared" si="0"/>
        <v>7568.4266121101464</v>
      </c>
      <c r="F54" s="22">
        <f t="shared" si="1"/>
        <v>7568.5</v>
      </c>
      <c r="G54" s="22">
        <f t="shared" si="2"/>
        <v>-0.16715999998996267</v>
      </c>
      <c r="H54" s="22">
        <f>+G54</f>
        <v>-0.16715999998996267</v>
      </c>
      <c r="I54" s="22"/>
      <c r="J54" s="22"/>
      <c r="K54" s="22"/>
      <c r="L54" s="22"/>
      <c r="M54" s="22"/>
      <c r="N54" s="22"/>
      <c r="O54">
        <f t="shared" ca="1" si="3"/>
        <v>-2.4287850670153099E-2</v>
      </c>
      <c r="P54">
        <f t="shared" ca="1" si="4"/>
        <v>-0.16690134605292636</v>
      </c>
      <c r="Q54" s="1">
        <f t="shared" si="5"/>
        <v>40599.149400000002</v>
      </c>
      <c r="S54">
        <f>G54</f>
        <v>-0.16715999998996267</v>
      </c>
    </row>
    <row r="55" spans="1:19" ht="12.95" customHeight="1" x14ac:dyDescent="0.2">
      <c r="A55" s="28" t="s">
        <v>46</v>
      </c>
      <c r="B55" s="29" t="s">
        <v>33</v>
      </c>
      <c r="C55" s="28">
        <v>55905.9251</v>
      </c>
      <c r="D55" s="28">
        <v>4.0000000000000002E-4</v>
      </c>
      <c r="E55" s="22">
        <f t="shared" si="0"/>
        <v>7694.9876633183503</v>
      </c>
      <c r="F55" s="22">
        <f t="shared" si="1"/>
        <v>7695</v>
      </c>
      <c r="G55" s="22">
        <f t="shared" si="2"/>
        <v>-2.8099999995902181E-2</v>
      </c>
      <c r="H55" s="22">
        <f>+G55</f>
        <v>-2.8099999995902181E-2</v>
      </c>
      <c r="I55" s="22"/>
      <c r="J55" s="22"/>
      <c r="K55" s="22"/>
      <c r="L55" s="22"/>
      <c r="M55" s="22"/>
      <c r="N55" s="22"/>
      <c r="O55">
        <f t="shared" ca="1" si="3"/>
        <v>-2.5978283876512354E-2</v>
      </c>
      <c r="P55">
        <f t="shared" ca="1" si="4"/>
        <v>-0.167054019806119</v>
      </c>
      <c r="Q55" s="1">
        <f t="shared" si="5"/>
        <v>40887.4251</v>
      </c>
      <c r="R55">
        <f>G55</f>
        <v>-2.8099999995902181E-2</v>
      </c>
    </row>
    <row r="56" spans="1:19" ht="12.95" customHeight="1" x14ac:dyDescent="0.2">
      <c r="A56" s="59" t="s">
        <v>48</v>
      </c>
      <c r="B56" s="60" t="s">
        <v>30</v>
      </c>
      <c r="C56" s="61">
        <v>55959.313770000001</v>
      </c>
      <c r="D56" s="61">
        <v>2.0000000000000001E-4</v>
      </c>
      <c r="E56" s="22">
        <f t="shared" si="0"/>
        <v>7718.4267745504385</v>
      </c>
      <c r="F56" s="22">
        <f t="shared" si="1"/>
        <v>7718.5</v>
      </c>
      <c r="G56" s="22">
        <f t="shared" si="2"/>
        <v>-0.16678999999567168</v>
      </c>
      <c r="H56" s="22"/>
      <c r="I56" s="22"/>
      <c r="J56" s="22">
        <f>+G56</f>
        <v>-0.16678999999567168</v>
      </c>
      <c r="K56" s="22"/>
      <c r="L56" s="22"/>
      <c r="M56" s="22"/>
      <c r="N56" s="22"/>
      <c r="O56">
        <f t="shared" ca="1" si="3"/>
        <v>-2.6292316922753009E-2</v>
      </c>
      <c r="P56">
        <f t="shared" ca="1" si="4"/>
        <v>-0.1670823821239058</v>
      </c>
      <c r="Q56" s="1">
        <f t="shared" si="5"/>
        <v>40940.813770000001</v>
      </c>
      <c r="S56">
        <f>G56</f>
        <v>-0.16678999999567168</v>
      </c>
    </row>
    <row r="57" spans="1:19" ht="12.95" customHeight="1" x14ac:dyDescent="0.2">
      <c r="A57" s="61" t="s">
        <v>47</v>
      </c>
      <c r="B57" s="60" t="s">
        <v>30</v>
      </c>
      <c r="C57" s="61">
        <v>55986.644500000002</v>
      </c>
      <c r="D57" s="61">
        <v>5.9999999999999995E-4</v>
      </c>
      <c r="E57" s="22">
        <f t="shared" si="0"/>
        <v>7730.4257252739562</v>
      </c>
      <c r="F57" s="22">
        <f t="shared" si="1"/>
        <v>7730.5</v>
      </c>
      <c r="G57" s="22">
        <f t="shared" si="2"/>
        <v>-0.16917999998986488</v>
      </c>
      <c r="H57" s="22">
        <f>+G57</f>
        <v>-0.16917999998986488</v>
      </c>
      <c r="I57" s="22"/>
      <c r="J57" s="22"/>
      <c r="K57" s="22"/>
      <c r="L57" s="22"/>
      <c r="M57" s="22"/>
      <c r="N57" s="22"/>
      <c r="O57">
        <f t="shared" ca="1" si="3"/>
        <v>-2.6452674222961006E-2</v>
      </c>
      <c r="P57">
        <f t="shared" ca="1" si="4"/>
        <v>-0.16709686500958415</v>
      </c>
      <c r="Q57" s="1">
        <f t="shared" si="5"/>
        <v>40968.144500000002</v>
      </c>
      <c r="S57">
        <f>G57</f>
        <v>-0.16917999998986488</v>
      </c>
    </row>
    <row r="58" spans="1:19" ht="12.95" customHeight="1" x14ac:dyDescent="0.2">
      <c r="A58" s="59" t="s">
        <v>49</v>
      </c>
      <c r="B58" s="60" t="s">
        <v>33</v>
      </c>
      <c r="C58" s="61">
        <v>56313.646200000003</v>
      </c>
      <c r="D58" s="61">
        <v>5.9999999999999995E-4</v>
      </c>
      <c r="E58" s="22">
        <f t="shared" si="0"/>
        <v>7873.9885677156544</v>
      </c>
      <c r="F58" s="22">
        <f t="shared" si="1"/>
        <v>7874</v>
      </c>
      <c r="G58" s="22">
        <f t="shared" si="2"/>
        <v>-2.6039999997010455E-2</v>
      </c>
      <c r="H58" s="22"/>
      <c r="I58" s="22"/>
      <c r="J58" s="22">
        <f>+G58</f>
        <v>-2.6039999997010455E-2</v>
      </c>
      <c r="K58" s="22"/>
      <c r="L58" s="22"/>
      <c r="M58" s="22"/>
      <c r="N58" s="22"/>
      <c r="O58">
        <f t="shared" ca="1" si="3"/>
        <v>-2.8370280271281592E-2</v>
      </c>
      <c r="P58">
        <f t="shared" ca="1" si="4"/>
        <v>-0.16727005618415447</v>
      </c>
      <c r="Q58" s="1">
        <f t="shared" si="5"/>
        <v>41295.146200000003</v>
      </c>
      <c r="R58">
        <f>G58</f>
        <v>-2.6039999997010455E-2</v>
      </c>
    </row>
    <row r="59" spans="1:19" ht="12.95" customHeight="1" x14ac:dyDescent="0.2">
      <c r="A59" s="59" t="s">
        <v>49</v>
      </c>
      <c r="B59" s="60" t="s">
        <v>30</v>
      </c>
      <c r="C59" s="61">
        <v>56314.643300000003</v>
      </c>
      <c r="D59" s="61">
        <v>4.0000000000000002E-4</v>
      </c>
      <c r="E59" s="22">
        <f t="shared" si="0"/>
        <v>7874.4263223517883</v>
      </c>
      <c r="F59" s="22">
        <f t="shared" si="1"/>
        <v>7874.5</v>
      </c>
      <c r="G59" s="22">
        <f t="shared" si="2"/>
        <v>-0.16781999999511754</v>
      </c>
      <c r="H59" s="22"/>
      <c r="I59" s="22"/>
      <c r="J59" s="22">
        <f>+G59</f>
        <v>-0.16781999999511754</v>
      </c>
      <c r="K59" s="22"/>
      <c r="L59" s="22"/>
      <c r="M59" s="22"/>
      <c r="N59" s="22"/>
      <c r="O59">
        <f t="shared" ca="1" si="3"/>
        <v>-2.8376961825456917E-2</v>
      </c>
      <c r="P59">
        <f t="shared" ca="1" si="4"/>
        <v>-0.16727065963772439</v>
      </c>
      <c r="Q59" s="1">
        <f t="shared" si="5"/>
        <v>41296.143300000003</v>
      </c>
      <c r="S59">
        <f>G59</f>
        <v>-0.16781999999511754</v>
      </c>
    </row>
    <row r="60" spans="1:19" ht="12.95" customHeight="1" x14ac:dyDescent="0.2">
      <c r="A60" s="62" t="s">
        <v>214</v>
      </c>
      <c r="B60" s="63" t="s">
        <v>33</v>
      </c>
      <c r="C60" s="64">
        <v>57770.130700000002</v>
      </c>
      <c r="D60" s="64">
        <v>2.9999999999999997E-4</v>
      </c>
      <c r="E60" s="22">
        <f t="shared" si="0"/>
        <v>8513.4257779572945</v>
      </c>
      <c r="F60" s="22">
        <f t="shared" si="1"/>
        <v>8513.5</v>
      </c>
      <c r="G60" s="22">
        <f t="shared" si="2"/>
        <v>-0.16905999999289634</v>
      </c>
      <c r="H60" s="22"/>
      <c r="I60" s="22"/>
      <c r="J60" s="22">
        <f>+G60</f>
        <v>-0.16905999999289634</v>
      </c>
      <c r="K60" s="22"/>
      <c r="L60" s="22"/>
      <c r="M60" s="22"/>
      <c r="N60" s="22"/>
      <c r="O60">
        <f t="shared" ca="1" si="3"/>
        <v>-3.6915988061532554E-2</v>
      </c>
      <c r="P60">
        <f t="shared" ca="1" si="4"/>
        <v>-0.16804187330009676</v>
      </c>
      <c r="Q60" s="1">
        <f t="shared" si="5"/>
        <v>42751.630700000002</v>
      </c>
      <c r="S60">
        <f>G60</f>
        <v>-0.16905999999289634</v>
      </c>
    </row>
    <row r="61" spans="1:19" ht="12.95" customHeight="1" x14ac:dyDescent="0.2">
      <c r="A61" s="65" t="s">
        <v>215</v>
      </c>
      <c r="B61" s="66" t="s">
        <v>30</v>
      </c>
      <c r="C61" s="67">
        <v>58173.297300000209</v>
      </c>
      <c r="D61" s="67">
        <v>2.0000000000000001E-4</v>
      </c>
      <c r="E61" s="22">
        <f>+(C61-C$7)/C$8</f>
        <v>8690.4271301630615</v>
      </c>
      <c r="F61" s="22">
        <f t="shared" si="1"/>
        <v>8690.5</v>
      </c>
      <c r="G61" s="22">
        <f>+C61-(C$7+F61*C$8)</f>
        <v>-0.16597999978694133</v>
      </c>
      <c r="H61" s="22"/>
      <c r="I61" s="22"/>
      <c r="J61" s="22">
        <f>+G61</f>
        <v>-0.16597999978694133</v>
      </c>
      <c r="K61" s="22"/>
      <c r="L61" s="22"/>
      <c r="M61" s="22"/>
      <c r="N61" s="22"/>
      <c r="O61">
        <f ca="1">+C$11+C$12*$F61</f>
        <v>-3.928125823960045E-2</v>
      </c>
      <c r="P61">
        <f ca="1">+D$11+D$12*$F61</f>
        <v>-0.16825549586385249</v>
      </c>
      <c r="Q61" s="1">
        <f>+C61-15018.5</f>
        <v>43154.797300000209</v>
      </c>
      <c r="S61">
        <f>G61</f>
        <v>-0.16597999978694133</v>
      </c>
    </row>
    <row r="62" spans="1:19" ht="12.95" customHeight="1" x14ac:dyDescent="0.2">
      <c r="A62" s="46"/>
      <c r="B62" s="47"/>
      <c r="C62" s="46"/>
      <c r="D62" s="46"/>
      <c r="E62" s="22"/>
      <c r="F62" s="22"/>
      <c r="G62" s="22"/>
      <c r="H62" s="22"/>
      <c r="I62" s="22"/>
      <c r="J62" s="22"/>
      <c r="K62" s="22"/>
      <c r="L62" s="22"/>
      <c r="M62" s="22"/>
      <c r="N62" s="22"/>
      <c r="Q62" s="1"/>
    </row>
    <row r="63" spans="1:19" ht="12.95" customHeight="1" x14ac:dyDescent="0.2">
      <c r="A63" s="46"/>
      <c r="B63" s="47"/>
      <c r="C63" s="46"/>
      <c r="D63" s="46"/>
      <c r="E63" s="22"/>
      <c r="F63" s="22"/>
      <c r="G63" s="22"/>
      <c r="H63" s="22"/>
      <c r="I63" s="22"/>
      <c r="J63" s="22"/>
      <c r="K63" s="22"/>
      <c r="L63" s="22"/>
      <c r="M63" s="22"/>
      <c r="N63" s="22"/>
      <c r="Q63" s="1"/>
    </row>
    <row r="64" spans="1:19" ht="12.95" customHeight="1" x14ac:dyDescent="0.2">
      <c r="A64" s="46"/>
      <c r="B64" s="47"/>
      <c r="C64" s="46"/>
      <c r="D64" s="46"/>
      <c r="E64" s="22"/>
      <c r="F64" s="22"/>
      <c r="G64" s="22"/>
      <c r="H64" s="22"/>
      <c r="I64" s="22"/>
      <c r="J64" s="22"/>
      <c r="K64" s="22"/>
      <c r="L64" s="22"/>
      <c r="M64" s="22"/>
      <c r="N64" s="22"/>
      <c r="Q64" s="1"/>
    </row>
    <row r="65" spans="1:17" ht="12.95" customHeight="1" x14ac:dyDescent="0.2">
      <c r="A65" s="46"/>
      <c r="B65" s="47"/>
      <c r="C65" s="46"/>
      <c r="D65" s="46"/>
      <c r="E65" s="22"/>
      <c r="F65" s="22"/>
      <c r="G65" s="22"/>
      <c r="H65" s="22"/>
      <c r="I65" s="22"/>
      <c r="J65" s="22"/>
      <c r="K65" s="22"/>
      <c r="L65" s="22"/>
      <c r="M65" s="22"/>
      <c r="N65" s="22"/>
      <c r="Q65" s="1"/>
    </row>
    <row r="66" spans="1:17" ht="12.95" customHeight="1" x14ac:dyDescent="0.2">
      <c r="A66" s="46"/>
      <c r="B66" s="47"/>
      <c r="C66" s="46"/>
      <c r="D66" s="46"/>
      <c r="E66" s="22"/>
      <c r="F66" s="22"/>
      <c r="G66" s="22"/>
      <c r="H66" s="22"/>
      <c r="I66" s="22"/>
      <c r="J66" s="22"/>
      <c r="K66" s="22"/>
      <c r="L66" s="22"/>
      <c r="M66" s="22"/>
      <c r="N66" s="22"/>
      <c r="Q66" s="1"/>
    </row>
    <row r="67" spans="1:17" ht="12.95" customHeight="1" x14ac:dyDescent="0.2">
      <c r="A67" s="46"/>
      <c r="B67" s="47"/>
      <c r="C67" s="46"/>
      <c r="D67" s="46"/>
      <c r="E67" s="22"/>
      <c r="F67" s="22"/>
      <c r="G67" s="22"/>
      <c r="H67" s="22"/>
      <c r="I67" s="22"/>
      <c r="J67" s="22"/>
      <c r="K67" s="22"/>
      <c r="L67" s="22"/>
      <c r="M67" s="22"/>
      <c r="N67" s="22"/>
      <c r="Q67" s="1"/>
    </row>
    <row r="68" spans="1:17" ht="12.95" customHeight="1" x14ac:dyDescent="0.2">
      <c r="B68" s="16"/>
    </row>
    <row r="69" spans="1:17" ht="12.95" customHeight="1" x14ac:dyDescent="0.2">
      <c r="B69" s="16"/>
    </row>
    <row r="70" spans="1:17" ht="12.95" customHeight="1" x14ac:dyDescent="0.2">
      <c r="B70" s="16"/>
    </row>
    <row r="71" spans="1:17" ht="12.95" customHeight="1" x14ac:dyDescent="0.2">
      <c r="B71" s="16"/>
    </row>
    <row r="72" spans="1:17" ht="12.95" customHeight="1" x14ac:dyDescent="0.2">
      <c r="B72" s="16"/>
    </row>
    <row r="73" spans="1:17" ht="12.95" customHeight="1" x14ac:dyDescent="0.2">
      <c r="B73" s="16"/>
    </row>
    <row r="74" spans="1:17" ht="12.95" customHeight="1" x14ac:dyDescent="0.2">
      <c r="B74" s="16"/>
    </row>
    <row r="75" spans="1:17" ht="12.95" customHeight="1" x14ac:dyDescent="0.2">
      <c r="B75" s="16"/>
    </row>
    <row r="76" spans="1:17" ht="12.95" customHeight="1" x14ac:dyDescent="0.2">
      <c r="B76" s="16"/>
    </row>
    <row r="77" spans="1:17" ht="12.95" customHeight="1" x14ac:dyDescent="0.2">
      <c r="B77" s="16"/>
    </row>
    <row r="78" spans="1:17" ht="12.95" customHeight="1" x14ac:dyDescent="0.2">
      <c r="B78" s="16"/>
    </row>
    <row r="79" spans="1:17" ht="12.95" customHeight="1" x14ac:dyDescent="0.2">
      <c r="B79" s="16"/>
    </row>
    <row r="80" spans="1:17" ht="12.95" customHeight="1" x14ac:dyDescent="0.2">
      <c r="B80" s="16"/>
    </row>
    <row r="81" spans="2:2" ht="12.95" customHeight="1" x14ac:dyDescent="0.2">
      <c r="B81" s="16"/>
    </row>
    <row r="82" spans="2:2" ht="12.95" customHeight="1" x14ac:dyDescent="0.2">
      <c r="B82" s="16"/>
    </row>
    <row r="83" spans="2:2" ht="12.95" customHeight="1" x14ac:dyDescent="0.2">
      <c r="B83" s="16"/>
    </row>
    <row r="84" spans="2:2" ht="12.95" customHeight="1" x14ac:dyDescent="0.2">
      <c r="B84" s="16"/>
    </row>
    <row r="85" spans="2:2" ht="12.95" customHeight="1" x14ac:dyDescent="0.2">
      <c r="B85" s="16"/>
    </row>
    <row r="86" spans="2:2" ht="12.95" customHeight="1" x14ac:dyDescent="0.2">
      <c r="B86" s="16"/>
    </row>
    <row r="87" spans="2:2" ht="12.95" customHeight="1" x14ac:dyDescent="0.2">
      <c r="B87" s="16"/>
    </row>
    <row r="88" spans="2:2" ht="12.95" customHeight="1" x14ac:dyDescent="0.2">
      <c r="B88" s="16"/>
    </row>
    <row r="89" spans="2:2" ht="12.95" customHeight="1" x14ac:dyDescent="0.2">
      <c r="B89" s="16"/>
    </row>
    <row r="90" spans="2:2" ht="12.95" customHeight="1" x14ac:dyDescent="0.2">
      <c r="B90" s="16"/>
    </row>
    <row r="91" spans="2:2" ht="12.95" customHeight="1" x14ac:dyDescent="0.2">
      <c r="B91" s="16"/>
    </row>
    <row r="92" spans="2:2" ht="12.95" customHeight="1" x14ac:dyDescent="0.2">
      <c r="B92" s="16"/>
    </row>
    <row r="93" spans="2:2" ht="12.95" customHeight="1" x14ac:dyDescent="0.2">
      <c r="B93" s="16"/>
    </row>
    <row r="94" spans="2:2" ht="12.95" customHeight="1" x14ac:dyDescent="0.2">
      <c r="B94" s="16"/>
    </row>
    <row r="95" spans="2:2" ht="12.95" customHeight="1" x14ac:dyDescent="0.2">
      <c r="B95" s="16"/>
    </row>
    <row r="96" spans="2:2" ht="12.95" customHeight="1" x14ac:dyDescent="0.2">
      <c r="B96" s="16"/>
    </row>
    <row r="97" spans="2:2" ht="12.95" customHeight="1" x14ac:dyDescent="0.2">
      <c r="B97" s="16"/>
    </row>
    <row r="98" spans="2:2" ht="12.95" customHeight="1" x14ac:dyDescent="0.2">
      <c r="B98" s="16"/>
    </row>
    <row r="99" spans="2:2" ht="12.95" customHeight="1" x14ac:dyDescent="0.2">
      <c r="B99" s="16"/>
    </row>
    <row r="100" spans="2:2" ht="12.95" customHeight="1" x14ac:dyDescent="0.2">
      <c r="B100" s="16"/>
    </row>
    <row r="101" spans="2:2" ht="12.95" customHeight="1" x14ac:dyDescent="0.2">
      <c r="B101" s="16"/>
    </row>
    <row r="102" spans="2:2" ht="12.95" customHeight="1" x14ac:dyDescent="0.2">
      <c r="B102" s="16"/>
    </row>
    <row r="103" spans="2:2" ht="12.95" customHeight="1" x14ac:dyDescent="0.2">
      <c r="B103" s="16"/>
    </row>
    <row r="104" spans="2:2" ht="12.95" customHeight="1" x14ac:dyDescent="0.2">
      <c r="B104" s="16"/>
    </row>
    <row r="105" spans="2:2" ht="12.95" customHeight="1" x14ac:dyDescent="0.2">
      <c r="B105" s="16"/>
    </row>
    <row r="106" spans="2:2" ht="12.95" customHeight="1" x14ac:dyDescent="0.2">
      <c r="B106" s="16"/>
    </row>
    <row r="107" spans="2:2" ht="12.95" customHeight="1" x14ac:dyDescent="0.2">
      <c r="B107" s="16"/>
    </row>
    <row r="108" spans="2:2" ht="12.95" customHeight="1" x14ac:dyDescent="0.2">
      <c r="B108" s="16"/>
    </row>
    <row r="109" spans="2:2" ht="12.95" customHeight="1" x14ac:dyDescent="0.2">
      <c r="B109" s="16"/>
    </row>
    <row r="110" spans="2:2" ht="12.95" customHeight="1" x14ac:dyDescent="0.2">
      <c r="B110" s="16"/>
    </row>
    <row r="111" spans="2:2" ht="12.95" customHeight="1" x14ac:dyDescent="0.2">
      <c r="B111" s="16"/>
    </row>
    <row r="112" spans="2:2" ht="12.95" customHeight="1" x14ac:dyDescent="0.2">
      <c r="B112" s="16"/>
    </row>
    <row r="113" spans="2:2" ht="12.95" customHeight="1" x14ac:dyDescent="0.2">
      <c r="B113" s="16"/>
    </row>
    <row r="114" spans="2:2" ht="12.95" customHeight="1" x14ac:dyDescent="0.2">
      <c r="B114" s="16"/>
    </row>
    <row r="115" spans="2:2" ht="12.95" customHeight="1" x14ac:dyDescent="0.2">
      <c r="B115" s="16"/>
    </row>
    <row r="116" spans="2:2" ht="12.95" customHeight="1" x14ac:dyDescent="0.2">
      <c r="B116" s="16"/>
    </row>
    <row r="117" spans="2:2" ht="12.95" customHeight="1" x14ac:dyDescent="0.2">
      <c r="B117" s="16"/>
    </row>
    <row r="118" spans="2:2" ht="12.95" customHeight="1" x14ac:dyDescent="0.2">
      <c r="B118" s="16"/>
    </row>
    <row r="119" spans="2:2" ht="12.95" customHeight="1" x14ac:dyDescent="0.2">
      <c r="B119" s="16"/>
    </row>
    <row r="120" spans="2:2" ht="12.95" customHeight="1" x14ac:dyDescent="0.2">
      <c r="B120" s="16"/>
    </row>
    <row r="121" spans="2:2" ht="12.95" customHeight="1" x14ac:dyDescent="0.2">
      <c r="B121" s="16"/>
    </row>
    <row r="122" spans="2:2" ht="12.95" customHeight="1" x14ac:dyDescent="0.2">
      <c r="B122" s="16"/>
    </row>
    <row r="123" spans="2:2" ht="12.95" customHeight="1" x14ac:dyDescent="0.2">
      <c r="B123" s="16"/>
    </row>
    <row r="124" spans="2:2" ht="12.95" customHeight="1" x14ac:dyDescent="0.2">
      <c r="B124" s="16"/>
    </row>
    <row r="125" spans="2:2" ht="12.95" customHeight="1" x14ac:dyDescent="0.2">
      <c r="B125" s="16"/>
    </row>
    <row r="126" spans="2:2" ht="12.95" customHeight="1" x14ac:dyDescent="0.2">
      <c r="B126" s="16"/>
    </row>
    <row r="127" spans="2:2" ht="12.95" customHeight="1" x14ac:dyDescent="0.2">
      <c r="B127" s="16"/>
    </row>
    <row r="128" spans="2:2" ht="12.95" customHeight="1" x14ac:dyDescent="0.2">
      <c r="B128" s="16"/>
    </row>
    <row r="129" spans="2:2" ht="12.95" customHeight="1" x14ac:dyDescent="0.2">
      <c r="B129" s="16"/>
    </row>
    <row r="130" spans="2:2" ht="12.95" customHeight="1" x14ac:dyDescent="0.2">
      <c r="B130" s="16"/>
    </row>
    <row r="131" spans="2:2" ht="12.95" customHeight="1" x14ac:dyDescent="0.2">
      <c r="B131" s="16"/>
    </row>
    <row r="132" spans="2:2" ht="12.95" customHeight="1" x14ac:dyDescent="0.2">
      <c r="B132" s="16"/>
    </row>
    <row r="133" spans="2:2" ht="12.95" customHeight="1" x14ac:dyDescent="0.2">
      <c r="B133" s="16"/>
    </row>
    <row r="134" spans="2:2" ht="12.95" customHeight="1" x14ac:dyDescent="0.2">
      <c r="B134" s="16"/>
    </row>
    <row r="135" spans="2:2" ht="12.95" customHeight="1" x14ac:dyDescent="0.2">
      <c r="B135" s="16"/>
    </row>
    <row r="136" spans="2:2" ht="12.95" customHeight="1" x14ac:dyDescent="0.2">
      <c r="B136" s="16"/>
    </row>
    <row r="137" spans="2:2" ht="12.95" customHeight="1" x14ac:dyDescent="0.2">
      <c r="B137" s="16"/>
    </row>
    <row r="138" spans="2:2" ht="12.95" customHeight="1" x14ac:dyDescent="0.2">
      <c r="B138" s="16"/>
    </row>
    <row r="139" spans="2:2" ht="12.95" customHeight="1" x14ac:dyDescent="0.2">
      <c r="B139" s="16"/>
    </row>
    <row r="140" spans="2:2" ht="12.95" customHeight="1" x14ac:dyDescent="0.2">
      <c r="B140" s="16"/>
    </row>
    <row r="141" spans="2:2" ht="12.95" customHeight="1" x14ac:dyDescent="0.2">
      <c r="B141" s="16"/>
    </row>
    <row r="142" spans="2:2" ht="12.95" customHeight="1" x14ac:dyDescent="0.2">
      <c r="B142" s="16"/>
    </row>
    <row r="143" spans="2:2" ht="12.95" customHeight="1" x14ac:dyDescent="0.2">
      <c r="B143" s="16"/>
    </row>
    <row r="144" spans="2:2" ht="12.95" customHeight="1" x14ac:dyDescent="0.2">
      <c r="B144" s="16"/>
    </row>
    <row r="145" spans="2:2" ht="12.95" customHeight="1" x14ac:dyDescent="0.2">
      <c r="B145" s="16"/>
    </row>
    <row r="146" spans="2:2" ht="12.95" customHeight="1" x14ac:dyDescent="0.2">
      <c r="B146" s="16"/>
    </row>
    <row r="147" spans="2:2" ht="12.95" customHeight="1" x14ac:dyDescent="0.2">
      <c r="B147" s="16"/>
    </row>
    <row r="148" spans="2:2" ht="12.95" customHeight="1" x14ac:dyDescent="0.2">
      <c r="B148" s="16"/>
    </row>
    <row r="149" spans="2:2" ht="12.95" customHeight="1" x14ac:dyDescent="0.2">
      <c r="B149" s="16"/>
    </row>
    <row r="150" spans="2:2" ht="12.95" customHeight="1" x14ac:dyDescent="0.2">
      <c r="B150" s="16"/>
    </row>
    <row r="151" spans="2:2" ht="12.95" customHeight="1" x14ac:dyDescent="0.2">
      <c r="B151" s="16"/>
    </row>
    <row r="152" spans="2:2" ht="12.95" customHeight="1" x14ac:dyDescent="0.2">
      <c r="B152" s="16"/>
    </row>
    <row r="153" spans="2:2" ht="12.95" customHeight="1" x14ac:dyDescent="0.2">
      <c r="B153" s="16"/>
    </row>
    <row r="154" spans="2:2" ht="12.95" customHeight="1" x14ac:dyDescent="0.2">
      <c r="B154" s="16"/>
    </row>
    <row r="155" spans="2:2" ht="12.95" customHeight="1" x14ac:dyDescent="0.2">
      <c r="B155" s="16"/>
    </row>
    <row r="156" spans="2:2" ht="12.95" customHeight="1" x14ac:dyDescent="0.2">
      <c r="B156" s="16"/>
    </row>
    <row r="157" spans="2:2" ht="12.95" customHeight="1" x14ac:dyDescent="0.2">
      <c r="B157" s="16"/>
    </row>
    <row r="158" spans="2:2" ht="12.95" customHeight="1" x14ac:dyDescent="0.2">
      <c r="B158" s="16"/>
    </row>
    <row r="159" spans="2:2" ht="12.95" customHeight="1" x14ac:dyDescent="0.2">
      <c r="B159" s="16"/>
    </row>
    <row r="160" spans="2:2" ht="12.95" customHeight="1" x14ac:dyDescent="0.2">
      <c r="B160" s="16"/>
    </row>
    <row r="161" spans="2:2" ht="12.95" customHeight="1" x14ac:dyDescent="0.2">
      <c r="B161" s="16"/>
    </row>
    <row r="162" spans="2:2" ht="12.95" customHeight="1" x14ac:dyDescent="0.2">
      <c r="B162" s="16"/>
    </row>
    <row r="163" spans="2:2" ht="12.95" customHeight="1" x14ac:dyDescent="0.2">
      <c r="B163" s="16"/>
    </row>
    <row r="164" spans="2:2" ht="12.95" customHeight="1" x14ac:dyDescent="0.2">
      <c r="B164" s="16"/>
    </row>
    <row r="165" spans="2:2" ht="12.95" customHeight="1" x14ac:dyDescent="0.2">
      <c r="B165" s="16"/>
    </row>
    <row r="166" spans="2:2" ht="12.95" customHeight="1" x14ac:dyDescent="0.2">
      <c r="B166" s="16"/>
    </row>
    <row r="167" spans="2:2" ht="12.95" customHeight="1" x14ac:dyDescent="0.2">
      <c r="B167" s="16"/>
    </row>
    <row r="168" spans="2:2" ht="12.95" customHeight="1" x14ac:dyDescent="0.2">
      <c r="B168" s="16"/>
    </row>
    <row r="169" spans="2:2" ht="12.95" customHeight="1" x14ac:dyDescent="0.2">
      <c r="B169" s="16"/>
    </row>
    <row r="170" spans="2:2" ht="12.95" customHeight="1" x14ac:dyDescent="0.2">
      <c r="B170" s="16"/>
    </row>
    <row r="171" spans="2:2" ht="12.95" customHeight="1" x14ac:dyDescent="0.2">
      <c r="B171" s="16"/>
    </row>
    <row r="172" spans="2:2" ht="12.95" customHeight="1" x14ac:dyDescent="0.2">
      <c r="B172" s="16"/>
    </row>
    <row r="173" spans="2:2" ht="12.95" customHeight="1" x14ac:dyDescent="0.2">
      <c r="B173" s="16"/>
    </row>
    <row r="174" spans="2:2" ht="12.95" customHeight="1" x14ac:dyDescent="0.2">
      <c r="B174" s="16"/>
    </row>
    <row r="175" spans="2:2" ht="12.95" customHeight="1" x14ac:dyDescent="0.2">
      <c r="B175" s="16"/>
    </row>
    <row r="176" spans="2:2" ht="12.95" customHeight="1" x14ac:dyDescent="0.2">
      <c r="B176" s="16"/>
    </row>
    <row r="177" spans="2:2" ht="12.95" customHeight="1" x14ac:dyDescent="0.2">
      <c r="B177" s="16"/>
    </row>
    <row r="178" spans="2:2" ht="12.95" customHeight="1" x14ac:dyDescent="0.2">
      <c r="B178" s="16"/>
    </row>
    <row r="179" spans="2:2" ht="12.95" customHeight="1" x14ac:dyDescent="0.2">
      <c r="B179" s="16"/>
    </row>
    <row r="180" spans="2:2" ht="12.95" customHeight="1" x14ac:dyDescent="0.2">
      <c r="B180" s="16"/>
    </row>
    <row r="181" spans="2:2" ht="12.95" customHeight="1" x14ac:dyDescent="0.2">
      <c r="B181" s="16"/>
    </row>
    <row r="182" spans="2:2" ht="12.95" customHeight="1" x14ac:dyDescent="0.2">
      <c r="B182" s="16"/>
    </row>
    <row r="183" spans="2:2" ht="12.95" customHeight="1" x14ac:dyDescent="0.2">
      <c r="B183" s="16"/>
    </row>
    <row r="184" spans="2:2" ht="12.95" customHeight="1" x14ac:dyDescent="0.2">
      <c r="B184" s="16"/>
    </row>
    <row r="185" spans="2:2" ht="12.95" customHeight="1" x14ac:dyDescent="0.2">
      <c r="B185" s="16"/>
    </row>
    <row r="186" spans="2:2" ht="12.95" customHeight="1" x14ac:dyDescent="0.2">
      <c r="B186" s="16"/>
    </row>
    <row r="187" spans="2:2" ht="12.95" customHeight="1" x14ac:dyDescent="0.2">
      <c r="B187" s="16"/>
    </row>
    <row r="188" spans="2:2" ht="12.95" customHeight="1" x14ac:dyDescent="0.2">
      <c r="B188" s="16"/>
    </row>
    <row r="189" spans="2:2" ht="12.95" customHeight="1" x14ac:dyDescent="0.2">
      <c r="B189" s="16"/>
    </row>
    <row r="190" spans="2:2" ht="12.95" customHeight="1" x14ac:dyDescent="0.2">
      <c r="B190" s="16"/>
    </row>
    <row r="191" spans="2:2" ht="12.95" customHeight="1" x14ac:dyDescent="0.2">
      <c r="B191" s="16"/>
    </row>
    <row r="192" spans="2:2" ht="12.95" customHeight="1" x14ac:dyDescent="0.2">
      <c r="B192" s="16"/>
    </row>
    <row r="193" spans="2:2" ht="12.95" customHeight="1" x14ac:dyDescent="0.2">
      <c r="B193" s="16"/>
    </row>
    <row r="194" spans="2:2" ht="12.95" customHeight="1" x14ac:dyDescent="0.2">
      <c r="B194" s="16"/>
    </row>
    <row r="195" spans="2:2" ht="12.95" customHeight="1" x14ac:dyDescent="0.2">
      <c r="B195" s="16"/>
    </row>
    <row r="196" spans="2:2" ht="12.95" customHeight="1" x14ac:dyDescent="0.2">
      <c r="B196" s="16"/>
    </row>
    <row r="197" spans="2:2" ht="12.95" customHeight="1" x14ac:dyDescent="0.2">
      <c r="B197" s="16"/>
    </row>
    <row r="198" spans="2:2" ht="12.95" customHeight="1" x14ac:dyDescent="0.2">
      <c r="B198" s="16"/>
    </row>
    <row r="199" spans="2:2" ht="12.95" customHeight="1" x14ac:dyDescent="0.2">
      <c r="B199" s="16"/>
    </row>
    <row r="200" spans="2:2" ht="12.95" customHeight="1" x14ac:dyDescent="0.2">
      <c r="B200" s="16"/>
    </row>
    <row r="201" spans="2:2" ht="12.95" customHeight="1" x14ac:dyDescent="0.2">
      <c r="B201" s="16"/>
    </row>
    <row r="202" spans="2:2" ht="12.95" customHeight="1" x14ac:dyDescent="0.2">
      <c r="B202" s="16"/>
    </row>
    <row r="203" spans="2:2" ht="12.95" customHeight="1" x14ac:dyDescent="0.2">
      <c r="B203" s="16"/>
    </row>
    <row r="204" spans="2:2" ht="12.95" customHeight="1" x14ac:dyDescent="0.2">
      <c r="B204" s="16"/>
    </row>
    <row r="205" spans="2:2" ht="12.95" customHeight="1" x14ac:dyDescent="0.2">
      <c r="B205" s="16"/>
    </row>
    <row r="206" spans="2:2" ht="12.95" customHeight="1" x14ac:dyDescent="0.2">
      <c r="B206" s="16"/>
    </row>
    <row r="207" spans="2:2" ht="12.95" customHeight="1" x14ac:dyDescent="0.2">
      <c r="B207" s="16"/>
    </row>
    <row r="208" spans="2:2" ht="12.95" customHeight="1" x14ac:dyDescent="0.2">
      <c r="B208" s="16"/>
    </row>
    <row r="209" spans="2:2" ht="12.95" customHeight="1" x14ac:dyDescent="0.2">
      <c r="B209" s="16"/>
    </row>
    <row r="210" spans="2:2" ht="12.95" customHeight="1" x14ac:dyDescent="0.2">
      <c r="B210" s="16"/>
    </row>
    <row r="211" spans="2:2" ht="12.95" customHeight="1" x14ac:dyDescent="0.2">
      <c r="B211" s="16"/>
    </row>
    <row r="212" spans="2:2" ht="12.95" customHeight="1" x14ac:dyDescent="0.2">
      <c r="B212" s="16"/>
    </row>
    <row r="213" spans="2:2" ht="12.95" customHeight="1" x14ac:dyDescent="0.2">
      <c r="B213" s="16"/>
    </row>
    <row r="214" spans="2:2" ht="12.95" customHeight="1" x14ac:dyDescent="0.2">
      <c r="B214" s="16"/>
    </row>
    <row r="215" spans="2:2" ht="12.95" customHeight="1" x14ac:dyDescent="0.2">
      <c r="B215" s="16"/>
    </row>
    <row r="216" spans="2:2" ht="12.95" customHeight="1" x14ac:dyDescent="0.2">
      <c r="B216" s="16"/>
    </row>
    <row r="217" spans="2:2" ht="12.95" customHeight="1" x14ac:dyDescent="0.2">
      <c r="B217" s="16"/>
    </row>
    <row r="218" spans="2:2" ht="12.95" customHeight="1" x14ac:dyDescent="0.2">
      <c r="B218" s="16"/>
    </row>
    <row r="219" spans="2:2" ht="12.95" customHeight="1" x14ac:dyDescent="0.2">
      <c r="B219" s="16"/>
    </row>
    <row r="220" spans="2:2" ht="12.95" customHeight="1" x14ac:dyDescent="0.2">
      <c r="B220" s="16"/>
    </row>
    <row r="221" spans="2:2" ht="12.95" customHeight="1" x14ac:dyDescent="0.2">
      <c r="B221" s="16"/>
    </row>
    <row r="222" spans="2:2" ht="12.95" customHeight="1" x14ac:dyDescent="0.2">
      <c r="B222" s="16"/>
    </row>
    <row r="223" spans="2:2" ht="12.95" customHeight="1" x14ac:dyDescent="0.2">
      <c r="B223" s="16"/>
    </row>
    <row r="224" spans="2:2" ht="12.95" customHeight="1" x14ac:dyDescent="0.2">
      <c r="B224" s="16"/>
    </row>
    <row r="225" spans="2:2" ht="12.95" customHeight="1" x14ac:dyDescent="0.2">
      <c r="B225" s="16"/>
    </row>
    <row r="226" spans="2:2" ht="12.95" customHeight="1" x14ac:dyDescent="0.2">
      <c r="B226" s="16"/>
    </row>
    <row r="227" spans="2:2" ht="12.95" customHeight="1" x14ac:dyDescent="0.2">
      <c r="B227" s="16"/>
    </row>
    <row r="228" spans="2:2" ht="12.95" customHeight="1" x14ac:dyDescent="0.2">
      <c r="B228" s="16"/>
    </row>
    <row r="229" spans="2:2" ht="12.95" customHeight="1" x14ac:dyDescent="0.2">
      <c r="B229" s="16"/>
    </row>
    <row r="230" spans="2:2" ht="12.95" customHeight="1" x14ac:dyDescent="0.2">
      <c r="B230" s="16"/>
    </row>
    <row r="231" spans="2:2" ht="12.95" customHeight="1" x14ac:dyDescent="0.2">
      <c r="B231" s="16"/>
    </row>
    <row r="232" spans="2:2" x14ac:dyDescent="0.2">
      <c r="B232" s="16"/>
    </row>
    <row r="233" spans="2:2" x14ac:dyDescent="0.2">
      <c r="B233" s="16"/>
    </row>
    <row r="234" spans="2:2" x14ac:dyDescent="0.2">
      <c r="B234" s="16"/>
    </row>
    <row r="235" spans="2:2" x14ac:dyDescent="0.2">
      <c r="B235" s="16"/>
    </row>
    <row r="236" spans="2:2" x14ac:dyDescent="0.2">
      <c r="B236" s="16"/>
    </row>
    <row r="237" spans="2:2" x14ac:dyDescent="0.2">
      <c r="B237" s="16"/>
    </row>
    <row r="238" spans="2:2" x14ac:dyDescent="0.2">
      <c r="B238" s="16"/>
    </row>
    <row r="239" spans="2:2" x14ac:dyDescent="0.2">
      <c r="B239" s="16"/>
    </row>
    <row r="240" spans="2:2" x14ac:dyDescent="0.2">
      <c r="B240" s="16"/>
    </row>
    <row r="241" spans="2:2" x14ac:dyDescent="0.2">
      <c r="B241" s="16"/>
    </row>
    <row r="242" spans="2:2" x14ac:dyDescent="0.2">
      <c r="B242" s="16"/>
    </row>
    <row r="243" spans="2:2" x14ac:dyDescent="0.2">
      <c r="B243" s="16"/>
    </row>
    <row r="244" spans="2:2" x14ac:dyDescent="0.2">
      <c r="B244" s="16"/>
    </row>
    <row r="245" spans="2:2" x14ac:dyDescent="0.2">
      <c r="B245" s="16"/>
    </row>
    <row r="246" spans="2:2" x14ac:dyDescent="0.2">
      <c r="B246" s="16"/>
    </row>
    <row r="247" spans="2:2" x14ac:dyDescent="0.2">
      <c r="B247" s="16"/>
    </row>
    <row r="248" spans="2:2" x14ac:dyDescent="0.2">
      <c r="B248" s="16"/>
    </row>
    <row r="249" spans="2:2" x14ac:dyDescent="0.2">
      <c r="B249" s="16"/>
    </row>
    <row r="250" spans="2:2" x14ac:dyDescent="0.2">
      <c r="B250" s="16"/>
    </row>
    <row r="251" spans="2:2" x14ac:dyDescent="0.2">
      <c r="B251" s="16"/>
    </row>
    <row r="252" spans="2:2" x14ac:dyDescent="0.2">
      <c r="B252" s="16"/>
    </row>
    <row r="253" spans="2:2" x14ac:dyDescent="0.2">
      <c r="B253" s="16"/>
    </row>
    <row r="254" spans="2:2" x14ac:dyDescent="0.2">
      <c r="B254" s="16"/>
    </row>
    <row r="255" spans="2:2" x14ac:dyDescent="0.2">
      <c r="B255" s="16"/>
    </row>
    <row r="256" spans="2:2" x14ac:dyDescent="0.2">
      <c r="B256" s="16"/>
    </row>
    <row r="257" spans="2:2" x14ac:dyDescent="0.2">
      <c r="B257" s="16"/>
    </row>
    <row r="258" spans="2:2" x14ac:dyDescent="0.2">
      <c r="B258" s="16"/>
    </row>
    <row r="259" spans="2:2" x14ac:dyDescent="0.2">
      <c r="B259" s="16"/>
    </row>
    <row r="260" spans="2:2" x14ac:dyDescent="0.2">
      <c r="B260" s="16"/>
    </row>
    <row r="261" spans="2:2" x14ac:dyDescent="0.2">
      <c r="B261" s="16"/>
    </row>
    <row r="262" spans="2:2" x14ac:dyDescent="0.2">
      <c r="B262" s="16"/>
    </row>
    <row r="263" spans="2:2" x14ac:dyDescent="0.2">
      <c r="B263" s="16"/>
    </row>
    <row r="264" spans="2:2" x14ac:dyDescent="0.2">
      <c r="B264" s="16"/>
    </row>
    <row r="265" spans="2:2" x14ac:dyDescent="0.2">
      <c r="B265" s="16"/>
    </row>
    <row r="266" spans="2:2" x14ac:dyDescent="0.2">
      <c r="B266" s="16"/>
    </row>
  </sheetData>
  <protectedRanges>
    <protectedRange sqref="A61:D61" name="Range1"/>
  </protectedRanges>
  <phoneticPr fontId="8" type="noConversion"/>
  <hyperlinks>
    <hyperlink ref="H1702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9"/>
  <sheetViews>
    <sheetView topLeftCell="A2" workbookViewId="0">
      <selection activeCell="A33" sqref="A33:D48"/>
    </sheetView>
  </sheetViews>
  <sheetFormatPr defaultRowHeight="12.75" x14ac:dyDescent="0.2"/>
  <cols>
    <col min="1" max="1" width="19.7109375" style="33" customWidth="1"/>
    <col min="2" max="2" width="4.42578125" style="14" customWidth="1"/>
    <col min="3" max="3" width="12.7109375" style="33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3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2" t="s">
        <v>50</v>
      </c>
      <c r="I1" s="34" t="s">
        <v>51</v>
      </c>
      <c r="J1" s="35" t="s">
        <v>52</v>
      </c>
    </row>
    <row r="2" spans="1:16" x14ac:dyDescent="0.2">
      <c r="I2" s="36" t="s">
        <v>53</v>
      </c>
      <c r="J2" s="37" t="s">
        <v>54</v>
      </c>
    </row>
    <row r="3" spans="1:16" x14ac:dyDescent="0.2">
      <c r="A3" s="38" t="s">
        <v>55</v>
      </c>
      <c r="I3" s="36" t="s">
        <v>56</v>
      </c>
      <c r="J3" s="37" t="s">
        <v>57</v>
      </c>
    </row>
    <row r="4" spans="1:16" x14ac:dyDescent="0.2">
      <c r="I4" s="36" t="s">
        <v>58</v>
      </c>
      <c r="J4" s="37" t="s">
        <v>57</v>
      </c>
    </row>
    <row r="5" spans="1:16" ht="13.5" thickBot="1" x14ac:dyDescent="0.25">
      <c r="I5" s="39" t="s">
        <v>59</v>
      </c>
      <c r="J5" s="40" t="s">
        <v>60</v>
      </c>
    </row>
    <row r="10" spans="1:16" ht="13.5" thickBot="1" x14ac:dyDescent="0.25"/>
    <row r="11" spans="1:16" ht="12.75" customHeight="1" thickBot="1" x14ac:dyDescent="0.25">
      <c r="A11" s="33" t="str">
        <f t="shared" ref="A11:A48" si="0">P11</f>
        <v>BAVM 99 </v>
      </c>
      <c r="B11" s="16" t="str">
        <f t="shared" ref="B11:B48" si="1">IF(H11=INT(H11),"I","II")</f>
        <v>II</v>
      </c>
      <c r="C11" s="33">
        <f t="shared" ref="C11:C48" si="2">1*G11</f>
        <v>50152.332499999997</v>
      </c>
      <c r="D11" s="14" t="str">
        <f t="shared" ref="D11:D48" si="3">VLOOKUP(F11,I$1:J$5,2,FALSE)</f>
        <v>vis</v>
      </c>
      <c r="E11" s="41">
        <f>VLOOKUP(C11,'Active 1'!C$21:E$973,3,FALSE)</f>
        <v>5169.0004653694868</v>
      </c>
      <c r="F11" s="16" t="s">
        <v>59</v>
      </c>
      <c r="G11" s="14" t="str">
        <f t="shared" ref="G11:G48" si="4">MID(I11,3,LEN(I11)-3)</f>
        <v>50152.3325</v>
      </c>
      <c r="H11" s="33">
        <f t="shared" ref="H11:H48" si="5">1*K11</f>
        <v>-1240.5</v>
      </c>
      <c r="I11" s="42" t="s">
        <v>88</v>
      </c>
      <c r="J11" s="43" t="s">
        <v>89</v>
      </c>
      <c r="K11" s="42">
        <v>-1240.5</v>
      </c>
      <c r="L11" s="42" t="s">
        <v>90</v>
      </c>
      <c r="M11" s="43" t="s">
        <v>91</v>
      </c>
      <c r="N11" s="43" t="s">
        <v>92</v>
      </c>
      <c r="O11" s="44" t="s">
        <v>93</v>
      </c>
      <c r="P11" s="45" t="s">
        <v>94</v>
      </c>
    </row>
    <row r="12" spans="1:16" ht="12.75" customHeight="1" thickBot="1" x14ac:dyDescent="0.25">
      <c r="A12" s="33" t="str">
        <f t="shared" si="0"/>
        <v>IBVS 5690 </v>
      </c>
      <c r="B12" s="16" t="str">
        <f t="shared" si="1"/>
        <v>II</v>
      </c>
      <c r="C12" s="33">
        <f t="shared" si="2"/>
        <v>53354.848700000002</v>
      </c>
      <c r="D12" s="14" t="str">
        <f t="shared" si="3"/>
        <v>vis</v>
      </c>
      <c r="E12" s="41">
        <f>VLOOKUP(C12,'Active 1'!C$21:E$973,3,FALSE)</f>
        <v>6574.9941609300395</v>
      </c>
      <c r="F12" s="16" t="s">
        <v>59</v>
      </c>
      <c r="G12" s="14" t="str">
        <f t="shared" si="4"/>
        <v>53354.8487</v>
      </c>
      <c r="H12" s="33">
        <f t="shared" si="5"/>
        <v>165.5</v>
      </c>
      <c r="I12" s="42" t="s">
        <v>101</v>
      </c>
      <c r="J12" s="43" t="s">
        <v>102</v>
      </c>
      <c r="K12" s="42">
        <v>165.5</v>
      </c>
      <c r="L12" s="42" t="s">
        <v>103</v>
      </c>
      <c r="M12" s="43" t="s">
        <v>91</v>
      </c>
      <c r="N12" s="43" t="s">
        <v>98</v>
      </c>
      <c r="O12" s="44" t="s">
        <v>104</v>
      </c>
      <c r="P12" s="45" t="s">
        <v>105</v>
      </c>
    </row>
    <row r="13" spans="1:16" ht="12.75" customHeight="1" thickBot="1" x14ac:dyDescent="0.25">
      <c r="A13" s="33" t="str">
        <f t="shared" si="0"/>
        <v>IBVS 5690 </v>
      </c>
      <c r="B13" s="16" t="str">
        <f t="shared" si="1"/>
        <v>I</v>
      </c>
      <c r="C13" s="33">
        <f t="shared" si="2"/>
        <v>53364.9467</v>
      </c>
      <c r="D13" s="14" t="str">
        <f t="shared" si="3"/>
        <v>vis</v>
      </c>
      <c r="E13" s="41">
        <f>VLOOKUP(C13,'Active 1'!C$21:E$973,3,FALSE)</f>
        <v>6579.4274638241104</v>
      </c>
      <c r="F13" s="16" t="s">
        <v>59</v>
      </c>
      <c r="G13" s="14" t="str">
        <f t="shared" si="4"/>
        <v>53364.9467</v>
      </c>
      <c r="H13" s="33">
        <f t="shared" si="5"/>
        <v>170</v>
      </c>
      <c r="I13" s="42" t="s">
        <v>106</v>
      </c>
      <c r="J13" s="43" t="s">
        <v>107</v>
      </c>
      <c r="K13" s="42">
        <v>170</v>
      </c>
      <c r="L13" s="42" t="s">
        <v>108</v>
      </c>
      <c r="M13" s="43" t="s">
        <v>91</v>
      </c>
      <c r="N13" s="43" t="s">
        <v>98</v>
      </c>
      <c r="O13" s="44" t="s">
        <v>104</v>
      </c>
      <c r="P13" s="45" t="s">
        <v>105</v>
      </c>
    </row>
    <row r="14" spans="1:16" ht="12.75" customHeight="1" thickBot="1" x14ac:dyDescent="0.25">
      <c r="A14" s="33" t="str">
        <f t="shared" si="0"/>
        <v>IBVS 5741 </v>
      </c>
      <c r="B14" s="16" t="str">
        <f t="shared" si="1"/>
        <v>I</v>
      </c>
      <c r="C14" s="33">
        <f t="shared" si="2"/>
        <v>53410.500800000002</v>
      </c>
      <c r="D14" s="14" t="str">
        <f t="shared" si="3"/>
        <v>vis</v>
      </c>
      <c r="E14" s="41">
        <f>VLOOKUP(C14,'Active 1'!C$21:E$973,3,FALSE)</f>
        <v>6599.4269808935123</v>
      </c>
      <c r="F14" s="16" t="s">
        <v>59</v>
      </c>
      <c r="G14" s="14" t="str">
        <f t="shared" si="4"/>
        <v>53410.5008</v>
      </c>
      <c r="H14" s="33">
        <f t="shared" si="5"/>
        <v>190</v>
      </c>
      <c r="I14" s="42" t="s">
        <v>109</v>
      </c>
      <c r="J14" s="43" t="s">
        <v>110</v>
      </c>
      <c r="K14" s="42">
        <v>190</v>
      </c>
      <c r="L14" s="42" t="s">
        <v>111</v>
      </c>
      <c r="M14" s="43" t="s">
        <v>91</v>
      </c>
      <c r="N14" s="43" t="s">
        <v>98</v>
      </c>
      <c r="O14" s="44" t="s">
        <v>112</v>
      </c>
      <c r="P14" s="45" t="s">
        <v>113</v>
      </c>
    </row>
    <row r="15" spans="1:16" ht="12.75" customHeight="1" thickBot="1" x14ac:dyDescent="0.25">
      <c r="A15" s="33" t="str">
        <f t="shared" si="0"/>
        <v>OEJV 0074 </v>
      </c>
      <c r="B15" s="16" t="str">
        <f t="shared" si="1"/>
        <v>II</v>
      </c>
      <c r="C15" s="33">
        <f t="shared" si="2"/>
        <v>53794.456429999998</v>
      </c>
      <c r="D15" s="14" t="str">
        <f t="shared" si="3"/>
        <v>vis</v>
      </c>
      <c r="E15" s="41">
        <f>VLOOKUP(C15,'Active 1'!C$21:E$973,3,FALSE)</f>
        <v>6767.994182881429</v>
      </c>
      <c r="F15" s="16" t="s">
        <v>59</v>
      </c>
      <c r="G15" s="14" t="str">
        <f t="shared" si="4"/>
        <v>53794.45643</v>
      </c>
      <c r="H15" s="33">
        <f t="shared" si="5"/>
        <v>358.5</v>
      </c>
      <c r="I15" s="42" t="s">
        <v>114</v>
      </c>
      <c r="J15" s="43" t="s">
        <v>115</v>
      </c>
      <c r="K15" s="42">
        <v>358.5</v>
      </c>
      <c r="L15" s="42" t="s">
        <v>116</v>
      </c>
      <c r="M15" s="43" t="s">
        <v>117</v>
      </c>
      <c r="N15" s="43" t="s">
        <v>118</v>
      </c>
      <c r="O15" s="44" t="s">
        <v>119</v>
      </c>
      <c r="P15" s="45" t="s">
        <v>120</v>
      </c>
    </row>
    <row r="16" spans="1:16" ht="12.75" customHeight="1" thickBot="1" x14ac:dyDescent="0.25">
      <c r="A16" s="33" t="str">
        <f t="shared" si="0"/>
        <v>OEJV 0074 </v>
      </c>
      <c r="B16" s="16" t="str">
        <f t="shared" si="1"/>
        <v>II</v>
      </c>
      <c r="C16" s="33">
        <f t="shared" si="2"/>
        <v>53794.457119999999</v>
      </c>
      <c r="D16" s="14" t="str">
        <f t="shared" si="3"/>
        <v>vis</v>
      </c>
      <c r="E16" s="41">
        <f>VLOOKUP(C16,'Active 1'!C$21:E$973,3,FALSE)</f>
        <v>6767.9944858106228</v>
      </c>
      <c r="F16" s="16" t="s">
        <v>59</v>
      </c>
      <c r="G16" s="14" t="str">
        <f t="shared" si="4"/>
        <v>53794.45712</v>
      </c>
      <c r="H16" s="33">
        <f t="shared" si="5"/>
        <v>358.5</v>
      </c>
      <c r="I16" s="42" t="s">
        <v>121</v>
      </c>
      <c r="J16" s="43" t="s">
        <v>122</v>
      </c>
      <c r="K16" s="42">
        <v>358.5</v>
      </c>
      <c r="L16" s="42" t="s">
        <v>123</v>
      </c>
      <c r="M16" s="43" t="s">
        <v>117</v>
      </c>
      <c r="N16" s="43" t="s">
        <v>124</v>
      </c>
      <c r="O16" s="44" t="s">
        <v>119</v>
      </c>
      <c r="P16" s="45" t="s">
        <v>120</v>
      </c>
    </row>
    <row r="17" spans="1:16" ht="12.75" customHeight="1" thickBot="1" x14ac:dyDescent="0.25">
      <c r="A17" s="33" t="str">
        <f t="shared" si="0"/>
        <v>OEJV 0074 </v>
      </c>
      <c r="B17" s="16" t="str">
        <f t="shared" si="1"/>
        <v>II</v>
      </c>
      <c r="C17" s="33">
        <f t="shared" si="2"/>
        <v>53794.457820000003</v>
      </c>
      <c r="D17" s="14" t="str">
        <f t="shared" si="3"/>
        <v>vis</v>
      </c>
      <c r="E17" s="41">
        <f>VLOOKUP(C17,'Active 1'!C$21:E$973,3,FALSE)</f>
        <v>6767.9947931300967</v>
      </c>
      <c r="F17" s="16" t="s">
        <v>59</v>
      </c>
      <c r="G17" s="14" t="str">
        <f t="shared" si="4"/>
        <v>53794.45782</v>
      </c>
      <c r="H17" s="33">
        <f t="shared" si="5"/>
        <v>358.5</v>
      </c>
      <c r="I17" s="42" t="s">
        <v>125</v>
      </c>
      <c r="J17" s="43" t="s">
        <v>126</v>
      </c>
      <c r="K17" s="42">
        <v>358.5</v>
      </c>
      <c r="L17" s="42" t="s">
        <v>127</v>
      </c>
      <c r="M17" s="43" t="s">
        <v>117</v>
      </c>
      <c r="N17" s="43" t="s">
        <v>30</v>
      </c>
      <c r="O17" s="44" t="s">
        <v>119</v>
      </c>
      <c r="P17" s="45" t="s">
        <v>120</v>
      </c>
    </row>
    <row r="18" spans="1:16" ht="12.75" customHeight="1" thickBot="1" x14ac:dyDescent="0.25">
      <c r="A18" s="33" t="str">
        <f t="shared" si="0"/>
        <v>OEJV 0074 </v>
      </c>
      <c r="B18" s="16" t="str">
        <f t="shared" si="1"/>
        <v>II</v>
      </c>
      <c r="C18" s="33">
        <f t="shared" si="2"/>
        <v>53794.457820000003</v>
      </c>
      <c r="D18" s="14" t="str">
        <f t="shared" si="3"/>
        <v>vis</v>
      </c>
      <c r="E18" s="41">
        <f>VLOOKUP(C18,'Active 1'!C$21:E$973,3,FALSE)</f>
        <v>6767.9947931300967</v>
      </c>
      <c r="F18" s="16" t="s">
        <v>59</v>
      </c>
      <c r="G18" s="14" t="str">
        <f t="shared" si="4"/>
        <v>53794.45782</v>
      </c>
      <c r="H18" s="33">
        <f t="shared" si="5"/>
        <v>358.5</v>
      </c>
      <c r="I18" s="42" t="s">
        <v>125</v>
      </c>
      <c r="J18" s="43" t="s">
        <v>126</v>
      </c>
      <c r="K18" s="42">
        <v>358.5</v>
      </c>
      <c r="L18" s="42" t="s">
        <v>127</v>
      </c>
      <c r="M18" s="43" t="s">
        <v>117</v>
      </c>
      <c r="N18" s="43" t="s">
        <v>59</v>
      </c>
      <c r="O18" s="44" t="s">
        <v>119</v>
      </c>
      <c r="P18" s="45" t="s">
        <v>120</v>
      </c>
    </row>
    <row r="19" spans="1:16" ht="12.75" customHeight="1" thickBot="1" x14ac:dyDescent="0.25">
      <c r="A19" s="33" t="str">
        <f t="shared" si="0"/>
        <v>IBVS 5760 </v>
      </c>
      <c r="B19" s="16" t="str">
        <f t="shared" si="1"/>
        <v>I</v>
      </c>
      <c r="C19" s="33">
        <f t="shared" si="2"/>
        <v>54093.981899999999</v>
      </c>
      <c r="D19" s="14" t="str">
        <f t="shared" si="3"/>
        <v>vis</v>
      </c>
      <c r="E19" s="41">
        <f>VLOOKUP(C19,'Active 1'!C$21:E$973,3,FALSE)</f>
        <v>6899.4941960522638</v>
      </c>
      <c r="F19" s="16" t="s">
        <v>59</v>
      </c>
      <c r="G19" s="14" t="str">
        <f t="shared" si="4"/>
        <v>54093.9819</v>
      </c>
      <c r="H19" s="33">
        <f t="shared" si="5"/>
        <v>490</v>
      </c>
      <c r="I19" s="42" t="s">
        <v>128</v>
      </c>
      <c r="J19" s="43" t="s">
        <v>129</v>
      </c>
      <c r="K19" s="42">
        <v>490</v>
      </c>
      <c r="L19" s="42" t="s">
        <v>130</v>
      </c>
      <c r="M19" s="43" t="s">
        <v>117</v>
      </c>
      <c r="N19" s="43" t="s">
        <v>124</v>
      </c>
      <c r="O19" s="44" t="s">
        <v>131</v>
      </c>
      <c r="P19" s="45" t="s">
        <v>132</v>
      </c>
    </row>
    <row r="20" spans="1:16" ht="12.75" customHeight="1" thickBot="1" x14ac:dyDescent="0.25">
      <c r="A20" s="33" t="str">
        <f t="shared" si="0"/>
        <v>IBVS 5897 </v>
      </c>
      <c r="B20" s="16" t="str">
        <f t="shared" si="1"/>
        <v>I</v>
      </c>
      <c r="C20" s="33">
        <f t="shared" si="2"/>
        <v>54107.4977</v>
      </c>
      <c r="D20" s="14" t="str">
        <f t="shared" si="3"/>
        <v>vis</v>
      </c>
      <c r="E20" s="41">
        <f>VLOOKUP(C20,'Active 1'!C$21:E$973,3,FALSE)</f>
        <v>6905.4280082186033</v>
      </c>
      <c r="F20" s="16" t="s">
        <v>59</v>
      </c>
      <c r="G20" s="14" t="str">
        <f t="shared" si="4"/>
        <v>54107.4977</v>
      </c>
      <c r="H20" s="33">
        <f t="shared" si="5"/>
        <v>496</v>
      </c>
      <c r="I20" s="42" t="s">
        <v>133</v>
      </c>
      <c r="J20" s="43" t="s">
        <v>134</v>
      </c>
      <c r="K20" s="42">
        <v>496</v>
      </c>
      <c r="L20" s="42" t="s">
        <v>135</v>
      </c>
      <c r="M20" s="43" t="s">
        <v>117</v>
      </c>
      <c r="N20" s="43" t="s">
        <v>124</v>
      </c>
      <c r="O20" s="44" t="s">
        <v>136</v>
      </c>
      <c r="P20" s="45" t="s">
        <v>137</v>
      </c>
    </row>
    <row r="21" spans="1:16" ht="12.75" customHeight="1" thickBot="1" x14ac:dyDescent="0.25">
      <c r="A21" s="33" t="str">
        <f t="shared" si="0"/>
        <v>IBVS 5897 </v>
      </c>
      <c r="B21" s="16" t="str">
        <f t="shared" si="1"/>
        <v>II</v>
      </c>
      <c r="C21" s="33">
        <f t="shared" si="2"/>
        <v>54475.501499999998</v>
      </c>
      <c r="D21" s="14" t="str">
        <f t="shared" si="3"/>
        <v>vis</v>
      </c>
      <c r="E21" s="41">
        <f>VLOOKUP(C21,'Active 1'!C$21:E$973,3,FALSE)</f>
        <v>7066.9919131076158</v>
      </c>
      <c r="F21" s="16" t="s">
        <v>59</v>
      </c>
      <c r="G21" s="14" t="str">
        <f t="shared" si="4"/>
        <v>54475.5015</v>
      </c>
      <c r="H21" s="33">
        <f t="shared" si="5"/>
        <v>657.5</v>
      </c>
      <c r="I21" s="42" t="s">
        <v>138</v>
      </c>
      <c r="J21" s="43" t="s">
        <v>139</v>
      </c>
      <c r="K21" s="42">
        <v>657.5</v>
      </c>
      <c r="L21" s="42" t="s">
        <v>140</v>
      </c>
      <c r="M21" s="43" t="s">
        <v>117</v>
      </c>
      <c r="N21" s="43" t="s">
        <v>141</v>
      </c>
      <c r="O21" s="44" t="s">
        <v>136</v>
      </c>
      <c r="P21" s="45" t="s">
        <v>137</v>
      </c>
    </row>
    <row r="22" spans="1:16" ht="12.75" customHeight="1" thickBot="1" x14ac:dyDescent="0.25">
      <c r="A22" s="33" t="str">
        <f t="shared" si="0"/>
        <v>IBVS 5897 </v>
      </c>
      <c r="B22" s="16" t="str">
        <f t="shared" si="1"/>
        <v>I</v>
      </c>
      <c r="C22" s="33">
        <f t="shared" si="2"/>
        <v>54492.435700000002</v>
      </c>
      <c r="D22" s="14" t="str">
        <f t="shared" si="3"/>
        <v>vis</v>
      </c>
      <c r="E22" s="41">
        <f>VLOOKUP(C22,'Active 1'!C$21:E$973,3,FALSE)</f>
        <v>7074.4264979629143</v>
      </c>
      <c r="F22" s="16" t="s">
        <v>59</v>
      </c>
      <c r="G22" s="14" t="str">
        <f t="shared" si="4"/>
        <v>54492.4357</v>
      </c>
      <c r="H22" s="33">
        <f t="shared" si="5"/>
        <v>665</v>
      </c>
      <c r="I22" s="42" t="s">
        <v>150</v>
      </c>
      <c r="J22" s="43" t="s">
        <v>151</v>
      </c>
      <c r="K22" s="42">
        <v>665</v>
      </c>
      <c r="L22" s="42" t="s">
        <v>152</v>
      </c>
      <c r="M22" s="43" t="s">
        <v>117</v>
      </c>
      <c r="N22" s="43" t="s">
        <v>141</v>
      </c>
      <c r="O22" s="44" t="s">
        <v>136</v>
      </c>
      <c r="P22" s="45" t="s">
        <v>137</v>
      </c>
    </row>
    <row r="23" spans="1:16" ht="12.75" customHeight="1" thickBot="1" x14ac:dyDescent="0.25">
      <c r="A23" s="33" t="str">
        <f t="shared" si="0"/>
        <v>IBVS 5897 </v>
      </c>
      <c r="B23" s="16" t="str">
        <f t="shared" si="1"/>
        <v>I</v>
      </c>
      <c r="C23" s="33">
        <f t="shared" si="2"/>
        <v>54772.602500000001</v>
      </c>
      <c r="D23" s="14" t="str">
        <f t="shared" si="3"/>
        <v>vis</v>
      </c>
      <c r="E23" s="41">
        <f>VLOOKUP(C23,'Active 1'!C$21:E$973,3,FALSE)</f>
        <v>7197.4275165074487</v>
      </c>
      <c r="F23" s="16" t="s">
        <v>59</v>
      </c>
      <c r="G23" s="14" t="str">
        <f t="shared" si="4"/>
        <v>54772.6025</v>
      </c>
      <c r="H23" s="33">
        <f t="shared" si="5"/>
        <v>788</v>
      </c>
      <c r="I23" s="42" t="s">
        <v>162</v>
      </c>
      <c r="J23" s="43" t="s">
        <v>163</v>
      </c>
      <c r="K23" s="42">
        <v>788</v>
      </c>
      <c r="L23" s="42" t="s">
        <v>164</v>
      </c>
      <c r="M23" s="43" t="s">
        <v>117</v>
      </c>
      <c r="N23" s="43" t="s">
        <v>30</v>
      </c>
      <c r="O23" s="44" t="s">
        <v>136</v>
      </c>
      <c r="P23" s="45" t="s">
        <v>137</v>
      </c>
    </row>
    <row r="24" spans="1:16" ht="12.75" customHeight="1" thickBot="1" x14ac:dyDescent="0.25">
      <c r="A24" s="33" t="str">
        <f t="shared" si="0"/>
        <v>IBVS 5945 </v>
      </c>
      <c r="B24" s="16" t="str">
        <f t="shared" si="1"/>
        <v>I</v>
      </c>
      <c r="C24" s="33">
        <f t="shared" si="2"/>
        <v>55273.708100000003</v>
      </c>
      <c r="D24" s="14" t="str">
        <f t="shared" si="3"/>
        <v>vis</v>
      </c>
      <c r="E24" s="41">
        <f>VLOOKUP(C24,'Active 1'!C$21:E$973,3,FALSE)</f>
        <v>7417.4268140629429</v>
      </c>
      <c r="F24" s="16" t="s">
        <v>59</v>
      </c>
      <c r="G24" s="14" t="str">
        <f t="shared" si="4"/>
        <v>55273.7081</v>
      </c>
      <c r="H24" s="33">
        <f t="shared" si="5"/>
        <v>1008</v>
      </c>
      <c r="I24" s="42" t="s">
        <v>170</v>
      </c>
      <c r="J24" s="43" t="s">
        <v>171</v>
      </c>
      <c r="K24" s="42">
        <v>1008</v>
      </c>
      <c r="L24" s="42" t="s">
        <v>172</v>
      </c>
      <c r="M24" s="43" t="s">
        <v>117</v>
      </c>
      <c r="N24" s="43" t="s">
        <v>59</v>
      </c>
      <c r="O24" s="44" t="s">
        <v>99</v>
      </c>
      <c r="P24" s="45" t="s">
        <v>173</v>
      </c>
    </row>
    <row r="25" spans="1:16" ht="12.75" customHeight="1" thickBot="1" x14ac:dyDescent="0.25">
      <c r="A25" s="33" t="str">
        <f t="shared" si="0"/>
        <v>IBVS 5992 </v>
      </c>
      <c r="B25" s="16" t="str">
        <f t="shared" si="1"/>
        <v>II</v>
      </c>
      <c r="C25" s="33">
        <f t="shared" si="2"/>
        <v>55575.6535</v>
      </c>
      <c r="D25" s="14" t="str">
        <f t="shared" si="3"/>
        <v>vis</v>
      </c>
      <c r="E25" s="41">
        <f>VLOOKUP(C25,'Active 1'!C$21:E$973,3,FALSE)</f>
        <v>7549.9892438184906</v>
      </c>
      <c r="F25" s="16" t="s">
        <v>59</v>
      </c>
      <c r="G25" s="14" t="str">
        <f t="shared" si="4"/>
        <v>55575.6535</v>
      </c>
      <c r="H25" s="33">
        <f t="shared" si="5"/>
        <v>1140.5</v>
      </c>
      <c r="I25" s="42" t="s">
        <v>174</v>
      </c>
      <c r="J25" s="43" t="s">
        <v>175</v>
      </c>
      <c r="K25" s="42">
        <v>1140.5</v>
      </c>
      <c r="L25" s="42" t="s">
        <v>176</v>
      </c>
      <c r="M25" s="43" t="s">
        <v>117</v>
      </c>
      <c r="N25" s="43" t="s">
        <v>59</v>
      </c>
      <c r="O25" s="44" t="s">
        <v>99</v>
      </c>
      <c r="P25" s="45" t="s">
        <v>177</v>
      </c>
    </row>
    <row r="26" spans="1:16" ht="12.75" customHeight="1" thickBot="1" x14ac:dyDescent="0.25">
      <c r="A26" s="33" t="str">
        <f t="shared" si="0"/>
        <v>IBVS 5990 </v>
      </c>
      <c r="B26" s="16" t="str">
        <f t="shared" si="1"/>
        <v>I</v>
      </c>
      <c r="C26" s="33">
        <f t="shared" si="2"/>
        <v>55599.427300000003</v>
      </c>
      <c r="D26" s="14" t="str">
        <f t="shared" si="3"/>
        <v>vis</v>
      </c>
      <c r="E26" s="41">
        <f>VLOOKUP(C26,'Active 1'!C$21:E$973,3,FALSE)</f>
        <v>7560.4266033295908</v>
      </c>
      <c r="F26" s="16" t="s">
        <v>59</v>
      </c>
      <c r="G26" s="14" t="str">
        <f t="shared" si="4"/>
        <v>55599.4273</v>
      </c>
      <c r="H26" s="33">
        <f t="shared" si="5"/>
        <v>1151</v>
      </c>
      <c r="I26" s="42" t="s">
        <v>178</v>
      </c>
      <c r="J26" s="43" t="s">
        <v>179</v>
      </c>
      <c r="K26" s="42">
        <v>1151</v>
      </c>
      <c r="L26" s="42" t="s">
        <v>172</v>
      </c>
      <c r="M26" s="43" t="s">
        <v>117</v>
      </c>
      <c r="N26" s="43" t="s">
        <v>180</v>
      </c>
      <c r="O26" s="44" t="s">
        <v>136</v>
      </c>
      <c r="P26" s="45" t="s">
        <v>181</v>
      </c>
    </row>
    <row r="27" spans="1:16" ht="12.75" customHeight="1" thickBot="1" x14ac:dyDescent="0.25">
      <c r="A27" s="33" t="str">
        <f t="shared" si="0"/>
        <v>IBVS 5992 </v>
      </c>
      <c r="B27" s="16" t="str">
        <f t="shared" si="1"/>
        <v>I</v>
      </c>
      <c r="C27" s="33">
        <f t="shared" si="2"/>
        <v>55617.649400000002</v>
      </c>
      <c r="D27" s="14" t="str">
        <f t="shared" si="3"/>
        <v>vis</v>
      </c>
      <c r="E27" s="41">
        <f>VLOOKUP(C27,'Active 1'!C$21:E$973,3,FALSE)</f>
        <v>7568.4266121101464</v>
      </c>
      <c r="F27" s="16" t="s">
        <v>59</v>
      </c>
      <c r="G27" s="14" t="str">
        <f t="shared" si="4"/>
        <v>55617.6494</v>
      </c>
      <c r="H27" s="33">
        <f t="shared" si="5"/>
        <v>1159</v>
      </c>
      <c r="I27" s="42" t="s">
        <v>182</v>
      </c>
      <c r="J27" s="43" t="s">
        <v>183</v>
      </c>
      <c r="K27" s="42">
        <v>1159</v>
      </c>
      <c r="L27" s="42" t="s">
        <v>172</v>
      </c>
      <c r="M27" s="43" t="s">
        <v>117</v>
      </c>
      <c r="N27" s="43" t="s">
        <v>59</v>
      </c>
      <c r="O27" s="44" t="s">
        <v>99</v>
      </c>
      <c r="P27" s="45" t="s">
        <v>177</v>
      </c>
    </row>
    <row r="28" spans="1:16" ht="12.75" customHeight="1" thickBot="1" x14ac:dyDescent="0.25">
      <c r="A28" s="33" t="str">
        <f t="shared" si="0"/>
        <v>IBVS 6011 </v>
      </c>
      <c r="B28" s="16" t="str">
        <f t="shared" si="1"/>
        <v>II</v>
      </c>
      <c r="C28" s="33">
        <f t="shared" si="2"/>
        <v>55905.9251</v>
      </c>
      <c r="D28" s="14" t="str">
        <f t="shared" si="3"/>
        <v>vis</v>
      </c>
      <c r="E28" s="41">
        <f>VLOOKUP(C28,'Active 1'!C$21:E$973,3,FALSE)</f>
        <v>7694.9876633183503</v>
      </c>
      <c r="F28" s="16" t="s">
        <v>59</v>
      </c>
      <c r="G28" s="14" t="str">
        <f t="shared" si="4"/>
        <v>55905.9251</v>
      </c>
      <c r="H28" s="33">
        <f t="shared" si="5"/>
        <v>1285.5</v>
      </c>
      <c r="I28" s="42" t="s">
        <v>184</v>
      </c>
      <c r="J28" s="43" t="s">
        <v>185</v>
      </c>
      <c r="K28" s="42">
        <v>1285.5</v>
      </c>
      <c r="L28" s="42" t="s">
        <v>186</v>
      </c>
      <c r="M28" s="43" t="s">
        <v>117</v>
      </c>
      <c r="N28" s="43" t="s">
        <v>59</v>
      </c>
      <c r="O28" s="44" t="s">
        <v>99</v>
      </c>
      <c r="P28" s="45" t="s">
        <v>187</v>
      </c>
    </row>
    <row r="29" spans="1:16" ht="12.75" customHeight="1" thickBot="1" x14ac:dyDescent="0.25">
      <c r="A29" s="33" t="str">
        <f t="shared" si="0"/>
        <v>OEJV 0160 </v>
      </c>
      <c r="B29" s="16" t="str">
        <f t="shared" si="1"/>
        <v>I</v>
      </c>
      <c r="C29" s="33">
        <f t="shared" si="2"/>
        <v>55959.313770000001</v>
      </c>
      <c r="D29" s="14" t="str">
        <f t="shared" si="3"/>
        <v>vis</v>
      </c>
      <c r="E29" s="41">
        <f>VLOOKUP(C29,'Active 1'!C$21:E$973,3,FALSE)</f>
        <v>7718.4267745504385</v>
      </c>
      <c r="F29" s="16" t="s">
        <v>59</v>
      </c>
      <c r="G29" s="14" t="str">
        <f t="shared" si="4"/>
        <v>55959.31377</v>
      </c>
      <c r="H29" s="33">
        <f t="shared" si="5"/>
        <v>1309</v>
      </c>
      <c r="I29" s="42" t="s">
        <v>188</v>
      </c>
      <c r="J29" s="43" t="s">
        <v>189</v>
      </c>
      <c r="K29" s="42">
        <v>1309</v>
      </c>
      <c r="L29" s="42" t="s">
        <v>190</v>
      </c>
      <c r="M29" s="43" t="s">
        <v>117</v>
      </c>
      <c r="N29" s="43" t="s">
        <v>51</v>
      </c>
      <c r="O29" s="44" t="s">
        <v>145</v>
      </c>
      <c r="P29" s="45" t="s">
        <v>191</v>
      </c>
    </row>
    <row r="30" spans="1:16" ht="12.75" customHeight="1" thickBot="1" x14ac:dyDescent="0.25">
      <c r="A30" s="33" t="str">
        <f t="shared" si="0"/>
        <v>IBVS 6029 </v>
      </c>
      <c r="B30" s="16" t="str">
        <f t="shared" si="1"/>
        <v>I</v>
      </c>
      <c r="C30" s="33">
        <f t="shared" si="2"/>
        <v>55986.644500000002</v>
      </c>
      <c r="D30" s="14" t="str">
        <f t="shared" si="3"/>
        <v>vis</v>
      </c>
      <c r="E30" s="41">
        <f>VLOOKUP(C30,'Active 1'!C$21:E$973,3,FALSE)</f>
        <v>7730.4257252739562</v>
      </c>
      <c r="F30" s="16" t="s">
        <v>59</v>
      </c>
      <c r="G30" s="14" t="str">
        <f t="shared" si="4"/>
        <v>55986.6445</v>
      </c>
      <c r="H30" s="33">
        <f t="shared" si="5"/>
        <v>1321</v>
      </c>
      <c r="I30" s="42" t="s">
        <v>192</v>
      </c>
      <c r="J30" s="43" t="s">
        <v>193</v>
      </c>
      <c r="K30" s="42">
        <v>1321</v>
      </c>
      <c r="L30" s="42" t="s">
        <v>194</v>
      </c>
      <c r="M30" s="43" t="s">
        <v>117</v>
      </c>
      <c r="N30" s="43" t="s">
        <v>59</v>
      </c>
      <c r="O30" s="44" t="s">
        <v>99</v>
      </c>
      <c r="P30" s="45" t="s">
        <v>195</v>
      </c>
    </row>
    <row r="31" spans="1:16" ht="12.75" customHeight="1" thickBot="1" x14ac:dyDescent="0.25">
      <c r="A31" s="33" t="str">
        <f t="shared" si="0"/>
        <v>IBVS 6063 </v>
      </c>
      <c r="B31" s="16" t="str">
        <f t="shared" si="1"/>
        <v>II</v>
      </c>
      <c r="C31" s="33">
        <f t="shared" si="2"/>
        <v>56313.646200000003</v>
      </c>
      <c r="D31" s="14" t="str">
        <f t="shared" si="3"/>
        <v>vis</v>
      </c>
      <c r="E31" s="41">
        <f>VLOOKUP(C31,'Active 1'!C$21:E$973,3,FALSE)</f>
        <v>7873.9885677156544</v>
      </c>
      <c r="F31" s="16" t="s">
        <v>59</v>
      </c>
      <c r="G31" s="14" t="str">
        <f t="shared" si="4"/>
        <v>56313.6462</v>
      </c>
      <c r="H31" s="33">
        <f t="shared" si="5"/>
        <v>1464.5</v>
      </c>
      <c r="I31" s="42" t="s">
        <v>196</v>
      </c>
      <c r="J31" s="43" t="s">
        <v>197</v>
      </c>
      <c r="K31" s="42">
        <v>1464.5</v>
      </c>
      <c r="L31" s="42" t="s">
        <v>198</v>
      </c>
      <c r="M31" s="43" t="s">
        <v>117</v>
      </c>
      <c r="N31" s="43" t="s">
        <v>59</v>
      </c>
      <c r="O31" s="44" t="s">
        <v>99</v>
      </c>
      <c r="P31" s="45" t="s">
        <v>199</v>
      </c>
    </row>
    <row r="32" spans="1:16" ht="12.75" customHeight="1" thickBot="1" x14ac:dyDescent="0.25">
      <c r="A32" s="33" t="str">
        <f t="shared" si="0"/>
        <v>IBVS 6063 </v>
      </c>
      <c r="B32" s="16" t="str">
        <f t="shared" si="1"/>
        <v>I</v>
      </c>
      <c r="C32" s="33">
        <f t="shared" si="2"/>
        <v>56314.643300000003</v>
      </c>
      <c r="D32" s="14" t="str">
        <f t="shared" si="3"/>
        <v>vis</v>
      </c>
      <c r="E32" s="41">
        <f>VLOOKUP(C32,'Active 1'!C$21:E$973,3,FALSE)</f>
        <v>7874.4263223517883</v>
      </c>
      <c r="F32" s="16" t="s">
        <v>59</v>
      </c>
      <c r="G32" s="14" t="str">
        <f t="shared" si="4"/>
        <v>56314.6433</v>
      </c>
      <c r="H32" s="33">
        <f t="shared" si="5"/>
        <v>1465</v>
      </c>
      <c r="I32" s="42" t="s">
        <v>200</v>
      </c>
      <c r="J32" s="43" t="s">
        <v>201</v>
      </c>
      <c r="K32" s="42">
        <v>1465</v>
      </c>
      <c r="L32" s="42" t="s">
        <v>202</v>
      </c>
      <c r="M32" s="43" t="s">
        <v>117</v>
      </c>
      <c r="N32" s="43" t="s">
        <v>59</v>
      </c>
      <c r="O32" s="44" t="s">
        <v>99</v>
      </c>
      <c r="P32" s="45" t="s">
        <v>199</v>
      </c>
    </row>
    <row r="33" spans="1:16" ht="12.75" customHeight="1" thickBot="1" x14ac:dyDescent="0.25">
      <c r="A33" s="33" t="str">
        <f t="shared" si="0"/>
        <v> AN 290.279 </v>
      </c>
      <c r="B33" s="16" t="str">
        <f t="shared" si="1"/>
        <v>II</v>
      </c>
      <c r="C33" s="33">
        <f t="shared" si="2"/>
        <v>30463.37</v>
      </c>
      <c r="D33" s="14" t="str">
        <f t="shared" si="3"/>
        <v>vis</v>
      </c>
      <c r="E33" s="41">
        <f>VLOOKUP(C33,'Active 1'!C$21:E$973,3,FALSE)</f>
        <v>-3475.0017561112663</v>
      </c>
      <c r="F33" s="16" t="s">
        <v>59</v>
      </c>
      <c r="G33" s="14" t="str">
        <f t="shared" si="4"/>
        <v>30463.37</v>
      </c>
      <c r="H33" s="33">
        <f t="shared" si="5"/>
        <v>-9884.5</v>
      </c>
      <c r="I33" s="42" t="s">
        <v>61</v>
      </c>
      <c r="J33" s="43" t="s">
        <v>62</v>
      </c>
      <c r="K33" s="42">
        <v>-9884.5</v>
      </c>
      <c r="L33" s="42" t="s">
        <v>63</v>
      </c>
      <c r="M33" s="43" t="s">
        <v>64</v>
      </c>
      <c r="N33" s="43"/>
      <c r="O33" s="44" t="s">
        <v>65</v>
      </c>
      <c r="P33" s="44" t="s">
        <v>66</v>
      </c>
    </row>
    <row r="34" spans="1:16" ht="12.75" customHeight="1" thickBot="1" x14ac:dyDescent="0.25">
      <c r="A34" s="33" t="str">
        <f t="shared" si="0"/>
        <v> VSS 7.600 </v>
      </c>
      <c r="B34" s="16" t="str">
        <f t="shared" si="1"/>
        <v>II</v>
      </c>
      <c r="C34" s="33">
        <f t="shared" si="2"/>
        <v>38378.6</v>
      </c>
      <c r="D34" s="14" t="str">
        <f t="shared" si="3"/>
        <v>vis</v>
      </c>
      <c r="E34" s="41">
        <f>VLOOKUP(C34,'Active 1'!C$21:E$973,3,FALSE)</f>
        <v>4.3902781689191435E-3</v>
      </c>
      <c r="F34" s="16" t="s">
        <v>59</v>
      </c>
      <c r="G34" s="14" t="str">
        <f t="shared" si="4"/>
        <v>38378.60</v>
      </c>
      <c r="H34" s="33">
        <f t="shared" si="5"/>
        <v>-6409.5</v>
      </c>
      <c r="I34" s="42" t="s">
        <v>67</v>
      </c>
      <c r="J34" s="43" t="s">
        <v>68</v>
      </c>
      <c r="K34" s="42">
        <v>-6409.5</v>
      </c>
      <c r="L34" s="42" t="s">
        <v>69</v>
      </c>
      <c r="M34" s="43" t="s">
        <v>64</v>
      </c>
      <c r="N34" s="43"/>
      <c r="O34" s="44" t="s">
        <v>70</v>
      </c>
      <c r="P34" s="44" t="s">
        <v>71</v>
      </c>
    </row>
    <row r="35" spans="1:16" ht="12.75" customHeight="1" thickBot="1" x14ac:dyDescent="0.25">
      <c r="A35" s="33" t="str">
        <f t="shared" si="0"/>
        <v> VSS 7.600 </v>
      </c>
      <c r="B35" s="16" t="str">
        <f t="shared" si="1"/>
        <v>II</v>
      </c>
      <c r="C35" s="33">
        <f t="shared" si="2"/>
        <v>38385.42</v>
      </c>
      <c r="D35" s="14" t="str">
        <f t="shared" si="3"/>
        <v>vis</v>
      </c>
      <c r="E35" s="41">
        <f>VLOOKUP(C35,'Active 1'!C$21:E$973,3,FALSE)</f>
        <v>2.998559988761655</v>
      </c>
      <c r="F35" s="16" t="s">
        <v>59</v>
      </c>
      <c r="G35" s="14" t="str">
        <f t="shared" si="4"/>
        <v>38385.42</v>
      </c>
      <c r="H35" s="33">
        <f t="shared" si="5"/>
        <v>-6406.5</v>
      </c>
      <c r="I35" s="42" t="s">
        <v>72</v>
      </c>
      <c r="J35" s="43" t="s">
        <v>73</v>
      </c>
      <c r="K35" s="42">
        <v>-6406.5</v>
      </c>
      <c r="L35" s="42" t="s">
        <v>74</v>
      </c>
      <c r="M35" s="43" t="s">
        <v>64</v>
      </c>
      <c r="N35" s="43"/>
      <c r="O35" s="44" t="s">
        <v>70</v>
      </c>
      <c r="P35" s="44" t="s">
        <v>71</v>
      </c>
    </row>
    <row r="36" spans="1:16" ht="12.75" customHeight="1" thickBot="1" x14ac:dyDescent="0.25">
      <c r="A36" s="33" t="str">
        <f t="shared" si="0"/>
        <v> VSS 7.600 </v>
      </c>
      <c r="B36" s="16" t="str">
        <f t="shared" si="1"/>
        <v>I</v>
      </c>
      <c r="C36" s="33">
        <f t="shared" si="2"/>
        <v>38386.519999999997</v>
      </c>
      <c r="D36" s="14" t="str">
        <f t="shared" si="3"/>
        <v>vis</v>
      </c>
      <c r="E36" s="41">
        <f>VLOOKUP(C36,'Active 1'!C$21:E$973,3,FALSE)</f>
        <v>3.4814905872437358</v>
      </c>
      <c r="F36" s="16" t="s">
        <v>59</v>
      </c>
      <c r="G36" s="14" t="str">
        <f t="shared" si="4"/>
        <v>38386.52</v>
      </c>
      <c r="H36" s="33">
        <f t="shared" si="5"/>
        <v>-6406</v>
      </c>
      <c r="I36" s="42" t="s">
        <v>75</v>
      </c>
      <c r="J36" s="43" t="s">
        <v>76</v>
      </c>
      <c r="K36" s="42">
        <v>-6406</v>
      </c>
      <c r="L36" s="42" t="s">
        <v>77</v>
      </c>
      <c r="M36" s="43" t="s">
        <v>64</v>
      </c>
      <c r="N36" s="43"/>
      <c r="O36" s="44" t="s">
        <v>70</v>
      </c>
      <c r="P36" s="44" t="s">
        <v>71</v>
      </c>
    </row>
    <row r="37" spans="1:16" ht="12.75" customHeight="1" thickBot="1" x14ac:dyDescent="0.25">
      <c r="A37" s="33" t="str">
        <f t="shared" si="0"/>
        <v> VSS 7.600 </v>
      </c>
      <c r="B37" s="16" t="str">
        <f t="shared" si="1"/>
        <v>II</v>
      </c>
      <c r="C37" s="33">
        <f t="shared" si="2"/>
        <v>38410.47</v>
      </c>
      <c r="D37" s="14" t="str">
        <f t="shared" si="3"/>
        <v>vis</v>
      </c>
      <c r="E37" s="41">
        <f>VLOOKUP(C37,'Active 1'!C$21:E$973,3,FALSE)</f>
        <v>13.996206799664872</v>
      </c>
      <c r="F37" s="16" t="s">
        <v>59</v>
      </c>
      <c r="G37" s="14" t="str">
        <f t="shared" si="4"/>
        <v>38410.47</v>
      </c>
      <c r="H37" s="33">
        <f t="shared" si="5"/>
        <v>-6395.5</v>
      </c>
      <c r="I37" s="42" t="s">
        <v>78</v>
      </c>
      <c r="J37" s="43" t="s">
        <v>79</v>
      </c>
      <c r="K37" s="42">
        <v>-6395.5</v>
      </c>
      <c r="L37" s="42" t="s">
        <v>74</v>
      </c>
      <c r="M37" s="43" t="s">
        <v>64</v>
      </c>
      <c r="N37" s="43"/>
      <c r="O37" s="44" t="s">
        <v>70</v>
      </c>
      <c r="P37" s="44" t="s">
        <v>71</v>
      </c>
    </row>
    <row r="38" spans="1:16" ht="12.75" customHeight="1" thickBot="1" x14ac:dyDescent="0.25">
      <c r="A38" s="33" t="str">
        <f t="shared" si="0"/>
        <v> AN 290.279 </v>
      </c>
      <c r="B38" s="16" t="str">
        <f t="shared" si="1"/>
        <v>I</v>
      </c>
      <c r="C38" s="33">
        <f t="shared" si="2"/>
        <v>38739.53</v>
      </c>
      <c r="D38" s="14" t="str">
        <f t="shared" si="3"/>
        <v>vis</v>
      </c>
      <c r="E38" s="41">
        <f>VLOOKUP(C38,'Active 1'!C$21:E$973,3,FALSE)</f>
        <v>158.46270019668549</v>
      </c>
      <c r="F38" s="16" t="s">
        <v>59</v>
      </c>
      <c r="G38" s="14" t="str">
        <f t="shared" si="4"/>
        <v>38739.53</v>
      </c>
      <c r="H38" s="33">
        <f t="shared" si="5"/>
        <v>-6251</v>
      </c>
      <c r="I38" s="42" t="s">
        <v>80</v>
      </c>
      <c r="J38" s="43" t="s">
        <v>81</v>
      </c>
      <c r="K38" s="42">
        <v>-6251</v>
      </c>
      <c r="L38" s="42" t="s">
        <v>82</v>
      </c>
      <c r="M38" s="43" t="s">
        <v>64</v>
      </c>
      <c r="N38" s="43"/>
      <c r="O38" s="44" t="s">
        <v>65</v>
      </c>
      <c r="P38" s="44" t="s">
        <v>66</v>
      </c>
    </row>
    <row r="39" spans="1:16" ht="12.75" customHeight="1" thickBot="1" x14ac:dyDescent="0.25">
      <c r="A39" s="33" t="str">
        <f t="shared" si="0"/>
        <v> VSS 7.600 </v>
      </c>
      <c r="B39" s="16" t="str">
        <f t="shared" si="1"/>
        <v>II</v>
      </c>
      <c r="C39" s="33">
        <f t="shared" si="2"/>
        <v>39533.47</v>
      </c>
      <c r="D39" s="14" t="str">
        <f t="shared" si="3"/>
        <v>vis</v>
      </c>
      <c r="E39" s="41">
        <f>VLOOKUP(C39,'Active 1'!C$21:E$973,3,FALSE)</f>
        <v>507.02444506884166</v>
      </c>
      <c r="F39" s="16" t="s">
        <v>59</v>
      </c>
      <c r="G39" s="14" t="str">
        <f t="shared" si="4"/>
        <v>39533.47</v>
      </c>
      <c r="H39" s="33">
        <f t="shared" si="5"/>
        <v>-5902.5</v>
      </c>
      <c r="I39" s="42" t="s">
        <v>83</v>
      </c>
      <c r="J39" s="43" t="s">
        <v>84</v>
      </c>
      <c r="K39" s="42">
        <v>-5902.5</v>
      </c>
      <c r="L39" s="42" t="s">
        <v>85</v>
      </c>
      <c r="M39" s="43" t="s">
        <v>64</v>
      </c>
      <c r="N39" s="43"/>
      <c r="O39" s="44" t="s">
        <v>70</v>
      </c>
      <c r="P39" s="44" t="s">
        <v>71</v>
      </c>
    </row>
    <row r="40" spans="1:16" ht="12.75" customHeight="1" thickBot="1" x14ac:dyDescent="0.25">
      <c r="A40" s="33" t="str">
        <f t="shared" si="0"/>
        <v> VSS 7.600 </v>
      </c>
      <c r="B40" s="16" t="str">
        <f t="shared" si="1"/>
        <v>II</v>
      </c>
      <c r="C40" s="33">
        <f t="shared" si="2"/>
        <v>39918.370000000003</v>
      </c>
      <c r="D40" s="14" t="str">
        <f t="shared" si="3"/>
        <v>vis</v>
      </c>
      <c r="E40" s="41">
        <f>VLOOKUP(C40,'Active 1'!C$21:E$973,3,FALSE)</f>
        <v>676.00625175611401</v>
      </c>
      <c r="F40" s="16" t="s">
        <v>59</v>
      </c>
      <c r="G40" s="14" t="str">
        <f t="shared" si="4"/>
        <v>39918.37</v>
      </c>
      <c r="H40" s="33">
        <f t="shared" si="5"/>
        <v>-5733.5</v>
      </c>
      <c r="I40" s="42" t="s">
        <v>86</v>
      </c>
      <c r="J40" s="43" t="s">
        <v>87</v>
      </c>
      <c r="K40" s="42">
        <v>-5733.5</v>
      </c>
      <c r="L40" s="42" t="s">
        <v>69</v>
      </c>
      <c r="M40" s="43" t="s">
        <v>64</v>
      </c>
      <c r="N40" s="43"/>
      <c r="O40" s="44" t="s">
        <v>70</v>
      </c>
      <c r="P40" s="44" t="s">
        <v>71</v>
      </c>
    </row>
    <row r="41" spans="1:16" ht="12.75" customHeight="1" thickBot="1" x14ac:dyDescent="0.25">
      <c r="A41" s="33" t="str">
        <f t="shared" si="0"/>
        <v> BBS 124 </v>
      </c>
      <c r="B41" s="16" t="str">
        <f t="shared" si="1"/>
        <v>II</v>
      </c>
      <c r="C41" s="33">
        <f t="shared" si="2"/>
        <v>51956.31</v>
      </c>
      <c r="D41" s="14" t="str">
        <f t="shared" si="3"/>
        <v>vis</v>
      </c>
      <c r="E41" s="41">
        <f>VLOOKUP(C41,'Active 1'!C$21:E$973,3,FALSE)</f>
        <v>5960.9967687552698</v>
      </c>
      <c r="F41" s="16" t="s">
        <v>59</v>
      </c>
      <c r="G41" s="14" t="str">
        <f t="shared" si="4"/>
        <v>51956.310</v>
      </c>
      <c r="H41" s="33">
        <f t="shared" si="5"/>
        <v>-448.5</v>
      </c>
      <c r="I41" s="42" t="s">
        <v>95</v>
      </c>
      <c r="J41" s="43" t="s">
        <v>96</v>
      </c>
      <c r="K41" s="42">
        <v>-448.5</v>
      </c>
      <c r="L41" s="42" t="s">
        <v>97</v>
      </c>
      <c r="M41" s="43" t="s">
        <v>91</v>
      </c>
      <c r="N41" s="43" t="s">
        <v>98</v>
      </c>
      <c r="O41" s="44" t="s">
        <v>99</v>
      </c>
      <c r="P41" s="44" t="s">
        <v>100</v>
      </c>
    </row>
    <row r="42" spans="1:16" ht="12.75" customHeight="1" thickBot="1" x14ac:dyDescent="0.25">
      <c r="A42" s="33" t="str">
        <f t="shared" si="0"/>
        <v>OEJV 0094 </v>
      </c>
      <c r="B42" s="16" t="str">
        <f t="shared" si="1"/>
        <v>II</v>
      </c>
      <c r="C42" s="33">
        <f t="shared" si="2"/>
        <v>54491.445</v>
      </c>
      <c r="D42" s="14" t="str">
        <f t="shared" si="3"/>
        <v>vis</v>
      </c>
      <c r="E42" s="41" t="e">
        <f>VLOOKUP(C42,'Active 1'!C$21:E$973,3,FALSE)</f>
        <v>#N/A</v>
      </c>
      <c r="F42" s="16" t="s">
        <v>59</v>
      </c>
      <c r="G42" s="14" t="str">
        <f t="shared" si="4"/>
        <v>54491.4450</v>
      </c>
      <c r="H42" s="33">
        <f t="shared" si="5"/>
        <v>664.5</v>
      </c>
      <c r="I42" s="42" t="s">
        <v>142</v>
      </c>
      <c r="J42" s="43" t="s">
        <v>143</v>
      </c>
      <c r="K42" s="42">
        <v>664.5</v>
      </c>
      <c r="L42" s="42" t="s">
        <v>144</v>
      </c>
      <c r="M42" s="43" t="s">
        <v>117</v>
      </c>
      <c r="N42" s="43" t="s">
        <v>30</v>
      </c>
      <c r="O42" s="44" t="s">
        <v>145</v>
      </c>
      <c r="P42" s="45" t="s">
        <v>146</v>
      </c>
    </row>
    <row r="43" spans="1:16" ht="12.75" customHeight="1" thickBot="1" x14ac:dyDescent="0.25">
      <c r="A43" s="33" t="str">
        <f t="shared" si="0"/>
        <v>OEJV 0094 </v>
      </c>
      <c r="B43" s="16" t="str">
        <f t="shared" si="1"/>
        <v>II</v>
      </c>
      <c r="C43" s="33">
        <f t="shared" si="2"/>
        <v>54491.446400000001</v>
      </c>
      <c r="D43" s="14" t="str">
        <f t="shared" si="3"/>
        <v>vis</v>
      </c>
      <c r="E43" s="41" t="e">
        <f>VLOOKUP(C43,'Active 1'!C$21:E$973,3,FALSE)</f>
        <v>#N/A</v>
      </c>
      <c r="F43" s="16" t="s">
        <v>59</v>
      </c>
      <c r="G43" s="14" t="str">
        <f t="shared" si="4"/>
        <v>54491.4464</v>
      </c>
      <c r="H43" s="33">
        <f t="shared" si="5"/>
        <v>664.5</v>
      </c>
      <c r="I43" s="42" t="s">
        <v>147</v>
      </c>
      <c r="J43" s="43" t="s">
        <v>148</v>
      </c>
      <c r="K43" s="42">
        <v>664.5</v>
      </c>
      <c r="L43" s="42" t="s">
        <v>149</v>
      </c>
      <c r="M43" s="43" t="s">
        <v>117</v>
      </c>
      <c r="N43" s="43" t="s">
        <v>124</v>
      </c>
      <c r="O43" s="44" t="s">
        <v>145</v>
      </c>
      <c r="P43" s="45" t="s">
        <v>146</v>
      </c>
    </row>
    <row r="44" spans="1:16" ht="12.75" customHeight="1" thickBot="1" x14ac:dyDescent="0.25">
      <c r="A44" s="33" t="str">
        <f t="shared" si="0"/>
        <v>OEJV 0094 </v>
      </c>
      <c r="B44" s="16" t="str">
        <f t="shared" si="1"/>
        <v>I</v>
      </c>
      <c r="C44" s="33">
        <f t="shared" si="2"/>
        <v>54508.381500000003</v>
      </c>
      <c r="D44" s="14" t="str">
        <f t="shared" si="3"/>
        <v>vis</v>
      </c>
      <c r="E44" s="41" t="e">
        <f>VLOOKUP(C44,'Active 1'!C$21:E$973,3,FALSE)</f>
        <v>#N/A</v>
      </c>
      <c r="F44" s="16" t="s">
        <v>59</v>
      </c>
      <c r="G44" s="14" t="str">
        <f t="shared" si="4"/>
        <v>54508.3815</v>
      </c>
      <c r="H44" s="33">
        <f t="shared" si="5"/>
        <v>672</v>
      </c>
      <c r="I44" s="42" t="s">
        <v>153</v>
      </c>
      <c r="J44" s="43" t="s">
        <v>154</v>
      </c>
      <c r="K44" s="42">
        <v>672</v>
      </c>
      <c r="L44" s="42" t="s">
        <v>155</v>
      </c>
      <c r="M44" s="43" t="s">
        <v>117</v>
      </c>
      <c r="N44" s="43" t="s">
        <v>124</v>
      </c>
      <c r="O44" s="44" t="s">
        <v>145</v>
      </c>
      <c r="P44" s="45" t="s">
        <v>146</v>
      </c>
    </row>
    <row r="45" spans="1:16" ht="12.75" customHeight="1" thickBot="1" x14ac:dyDescent="0.25">
      <c r="A45" s="33" t="str">
        <f t="shared" si="0"/>
        <v>OEJV 0094 </v>
      </c>
      <c r="B45" s="16" t="str">
        <f t="shared" si="1"/>
        <v>II</v>
      </c>
      <c r="C45" s="33">
        <f t="shared" si="2"/>
        <v>54523.334900000002</v>
      </c>
      <c r="D45" s="14" t="str">
        <f t="shared" si="3"/>
        <v>vis</v>
      </c>
      <c r="E45" s="41" t="e">
        <f>VLOOKUP(C45,'Active 1'!C$21:E$973,3,FALSE)</f>
        <v>#N/A</v>
      </c>
      <c r="F45" s="16" t="s">
        <v>59</v>
      </c>
      <c r="G45" s="14" t="str">
        <f t="shared" si="4"/>
        <v>54523.3349</v>
      </c>
      <c r="H45" s="33">
        <f t="shared" si="5"/>
        <v>678.5</v>
      </c>
      <c r="I45" s="42" t="s">
        <v>156</v>
      </c>
      <c r="J45" s="43" t="s">
        <v>157</v>
      </c>
      <c r="K45" s="42">
        <v>678.5</v>
      </c>
      <c r="L45" s="42" t="s">
        <v>158</v>
      </c>
      <c r="M45" s="43" t="s">
        <v>117</v>
      </c>
      <c r="N45" s="43" t="s">
        <v>30</v>
      </c>
      <c r="O45" s="44" t="s">
        <v>145</v>
      </c>
      <c r="P45" s="45" t="s">
        <v>146</v>
      </c>
    </row>
    <row r="46" spans="1:16" ht="12.75" customHeight="1" thickBot="1" x14ac:dyDescent="0.25">
      <c r="A46" s="33" t="str">
        <f t="shared" si="0"/>
        <v>OEJV 0094 </v>
      </c>
      <c r="B46" s="16" t="str">
        <f t="shared" si="1"/>
        <v>II</v>
      </c>
      <c r="C46" s="33">
        <f t="shared" si="2"/>
        <v>54523.334999999999</v>
      </c>
      <c r="D46" s="14" t="str">
        <f t="shared" si="3"/>
        <v>vis</v>
      </c>
      <c r="E46" s="41" t="e">
        <f>VLOOKUP(C46,'Active 1'!C$21:E$973,3,FALSE)</f>
        <v>#N/A</v>
      </c>
      <c r="F46" s="16" t="s">
        <v>59</v>
      </c>
      <c r="G46" s="14" t="str">
        <f t="shared" si="4"/>
        <v>54523.3350</v>
      </c>
      <c r="H46" s="33">
        <f t="shared" si="5"/>
        <v>678.5</v>
      </c>
      <c r="I46" s="42" t="s">
        <v>159</v>
      </c>
      <c r="J46" s="43" t="s">
        <v>157</v>
      </c>
      <c r="K46" s="42">
        <v>678.5</v>
      </c>
      <c r="L46" s="42" t="s">
        <v>149</v>
      </c>
      <c r="M46" s="43" t="s">
        <v>117</v>
      </c>
      <c r="N46" s="43" t="s">
        <v>124</v>
      </c>
      <c r="O46" s="44" t="s">
        <v>145</v>
      </c>
      <c r="P46" s="45" t="s">
        <v>146</v>
      </c>
    </row>
    <row r="47" spans="1:16" ht="12.75" customHeight="1" thickBot="1" x14ac:dyDescent="0.25">
      <c r="A47" s="33" t="str">
        <f t="shared" si="0"/>
        <v>OEJV 0094 </v>
      </c>
      <c r="B47" s="16" t="str">
        <f t="shared" si="1"/>
        <v>II</v>
      </c>
      <c r="C47" s="33">
        <f t="shared" si="2"/>
        <v>54523.335299999999</v>
      </c>
      <c r="D47" s="14" t="str">
        <f t="shared" si="3"/>
        <v>vis</v>
      </c>
      <c r="E47" s="41" t="e">
        <f>VLOOKUP(C47,'Active 1'!C$21:E$973,3,FALSE)</f>
        <v>#N/A</v>
      </c>
      <c r="F47" s="16" t="s">
        <v>59</v>
      </c>
      <c r="G47" s="14" t="str">
        <f t="shared" si="4"/>
        <v>54523.3353</v>
      </c>
      <c r="H47" s="33">
        <f t="shared" si="5"/>
        <v>678.5</v>
      </c>
      <c r="I47" s="42" t="s">
        <v>160</v>
      </c>
      <c r="J47" s="43" t="s">
        <v>157</v>
      </c>
      <c r="K47" s="42">
        <v>678.5</v>
      </c>
      <c r="L47" s="42" t="s">
        <v>161</v>
      </c>
      <c r="M47" s="43" t="s">
        <v>117</v>
      </c>
      <c r="N47" s="43" t="s">
        <v>59</v>
      </c>
      <c r="O47" s="44" t="s">
        <v>145</v>
      </c>
      <c r="P47" s="45" t="s">
        <v>146</v>
      </c>
    </row>
    <row r="48" spans="1:16" ht="12.75" customHeight="1" thickBot="1" x14ac:dyDescent="0.25">
      <c r="A48" s="33" t="str">
        <f t="shared" si="0"/>
        <v>OEJV 0107 </v>
      </c>
      <c r="B48" s="16" t="str">
        <f t="shared" si="1"/>
        <v>I</v>
      </c>
      <c r="C48" s="33">
        <f t="shared" si="2"/>
        <v>54893.321300000003</v>
      </c>
      <c r="D48" s="14" t="str">
        <f t="shared" si="3"/>
        <v>vis</v>
      </c>
      <c r="E48" s="41" t="e">
        <f>VLOOKUP(C48,'Active 1'!C$21:E$973,3,FALSE)</f>
        <v>#N/A</v>
      </c>
      <c r="F48" s="16" t="s">
        <v>59</v>
      </c>
      <c r="G48" s="14" t="str">
        <f t="shared" si="4"/>
        <v>54893.3213</v>
      </c>
      <c r="H48" s="33">
        <f t="shared" si="5"/>
        <v>841</v>
      </c>
      <c r="I48" s="42" t="s">
        <v>165</v>
      </c>
      <c r="J48" s="43" t="s">
        <v>166</v>
      </c>
      <c r="K48" s="42">
        <v>841</v>
      </c>
      <c r="L48" s="42" t="s">
        <v>167</v>
      </c>
      <c r="M48" s="43" t="s">
        <v>117</v>
      </c>
      <c r="N48" s="43" t="s">
        <v>124</v>
      </c>
      <c r="O48" s="44" t="s">
        <v>168</v>
      </c>
      <c r="P48" s="45" t="s">
        <v>169</v>
      </c>
    </row>
    <row r="49" spans="2:6" x14ac:dyDescent="0.2">
      <c r="B49" s="16"/>
      <c r="F49" s="16"/>
    </row>
    <row r="50" spans="2:6" x14ac:dyDescent="0.2">
      <c r="B50" s="16"/>
      <c r="F50" s="16"/>
    </row>
    <row r="51" spans="2:6" x14ac:dyDescent="0.2">
      <c r="B51" s="16"/>
      <c r="F51" s="16"/>
    </row>
    <row r="52" spans="2:6" x14ac:dyDescent="0.2">
      <c r="B52" s="16"/>
      <c r="F52" s="16"/>
    </row>
    <row r="53" spans="2:6" x14ac:dyDescent="0.2">
      <c r="B53" s="16"/>
      <c r="F53" s="16"/>
    </row>
    <row r="54" spans="2:6" x14ac:dyDescent="0.2">
      <c r="B54" s="16"/>
      <c r="F54" s="16"/>
    </row>
    <row r="55" spans="2:6" x14ac:dyDescent="0.2">
      <c r="B55" s="16"/>
      <c r="F55" s="16"/>
    </row>
    <row r="56" spans="2:6" x14ac:dyDescent="0.2">
      <c r="B56" s="16"/>
      <c r="F56" s="16"/>
    </row>
    <row r="57" spans="2:6" x14ac:dyDescent="0.2">
      <c r="B57" s="16"/>
      <c r="F57" s="16"/>
    </row>
    <row r="58" spans="2:6" x14ac:dyDescent="0.2">
      <c r="B58" s="16"/>
      <c r="F58" s="16"/>
    </row>
    <row r="59" spans="2:6" x14ac:dyDescent="0.2">
      <c r="B59" s="16"/>
      <c r="F59" s="16"/>
    </row>
    <row r="60" spans="2:6" x14ac:dyDescent="0.2">
      <c r="B60" s="16"/>
      <c r="F60" s="16"/>
    </row>
    <row r="61" spans="2:6" x14ac:dyDescent="0.2">
      <c r="B61" s="16"/>
      <c r="F61" s="16"/>
    </row>
    <row r="62" spans="2:6" x14ac:dyDescent="0.2">
      <c r="B62" s="16"/>
      <c r="F62" s="16"/>
    </row>
    <row r="63" spans="2:6" x14ac:dyDescent="0.2">
      <c r="B63" s="16"/>
      <c r="F63" s="16"/>
    </row>
    <row r="64" spans="2:6" x14ac:dyDescent="0.2">
      <c r="B64" s="16"/>
      <c r="F64" s="16"/>
    </row>
    <row r="65" spans="2:6" x14ac:dyDescent="0.2">
      <c r="B65" s="16"/>
      <c r="F65" s="16"/>
    </row>
    <row r="66" spans="2:6" x14ac:dyDescent="0.2">
      <c r="B66" s="16"/>
      <c r="F66" s="16"/>
    </row>
    <row r="67" spans="2:6" x14ac:dyDescent="0.2">
      <c r="B67" s="16"/>
      <c r="F67" s="16"/>
    </row>
    <row r="68" spans="2:6" x14ac:dyDescent="0.2">
      <c r="B68" s="16"/>
      <c r="F68" s="16"/>
    </row>
    <row r="69" spans="2:6" x14ac:dyDescent="0.2">
      <c r="B69" s="16"/>
      <c r="F69" s="16"/>
    </row>
    <row r="70" spans="2:6" x14ac:dyDescent="0.2">
      <c r="B70" s="16"/>
      <c r="F70" s="16"/>
    </row>
    <row r="71" spans="2:6" x14ac:dyDescent="0.2">
      <c r="B71" s="16"/>
      <c r="F71" s="16"/>
    </row>
    <row r="72" spans="2:6" x14ac:dyDescent="0.2">
      <c r="B72" s="16"/>
      <c r="F72" s="16"/>
    </row>
    <row r="73" spans="2:6" x14ac:dyDescent="0.2">
      <c r="B73" s="16"/>
      <c r="F73" s="16"/>
    </row>
    <row r="74" spans="2:6" x14ac:dyDescent="0.2">
      <c r="B74" s="16"/>
      <c r="F74" s="16"/>
    </row>
    <row r="75" spans="2:6" x14ac:dyDescent="0.2">
      <c r="B75" s="16"/>
      <c r="F75" s="16"/>
    </row>
    <row r="76" spans="2:6" x14ac:dyDescent="0.2">
      <c r="B76" s="16"/>
      <c r="F76" s="16"/>
    </row>
    <row r="77" spans="2:6" x14ac:dyDescent="0.2">
      <c r="B77" s="16"/>
      <c r="F77" s="16"/>
    </row>
    <row r="78" spans="2:6" x14ac:dyDescent="0.2">
      <c r="B78" s="16"/>
      <c r="F78" s="16"/>
    </row>
    <row r="79" spans="2:6" x14ac:dyDescent="0.2">
      <c r="B79" s="16"/>
      <c r="F79" s="16"/>
    </row>
    <row r="80" spans="2: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</sheetData>
  <phoneticPr fontId="8" type="noConversion"/>
  <hyperlinks>
    <hyperlink ref="P11" r:id="rId1" display="http://www.bav-astro.de/sfs/BAVM_link.php?BAVMnr=99"/>
    <hyperlink ref="P12" r:id="rId2" display="http://www.konkoly.hu/cgi-bin/IBVS?5690"/>
    <hyperlink ref="P13" r:id="rId3" display="http://www.konkoly.hu/cgi-bin/IBVS?5690"/>
    <hyperlink ref="P14" r:id="rId4" display="http://www.konkoly.hu/cgi-bin/IBVS?5741"/>
    <hyperlink ref="P15" r:id="rId5" display="http://var.astro.cz/oejv/issues/oejv0074.pdf"/>
    <hyperlink ref="P16" r:id="rId6" display="http://var.astro.cz/oejv/issues/oejv0074.pdf"/>
    <hyperlink ref="P17" r:id="rId7" display="http://var.astro.cz/oejv/issues/oejv0074.pdf"/>
    <hyperlink ref="P18" r:id="rId8" display="http://var.astro.cz/oejv/issues/oejv0074.pdf"/>
    <hyperlink ref="P19" r:id="rId9" display="http://www.konkoly.hu/cgi-bin/IBVS?5760"/>
    <hyperlink ref="P20" r:id="rId10" display="http://www.konkoly.hu/cgi-bin/IBVS?5897"/>
    <hyperlink ref="P21" r:id="rId11" display="http://www.konkoly.hu/cgi-bin/IBVS?5897"/>
    <hyperlink ref="P42" r:id="rId12" display="http://var.astro.cz/oejv/issues/oejv0094.pdf"/>
    <hyperlink ref="P43" r:id="rId13" display="http://var.astro.cz/oejv/issues/oejv0094.pdf"/>
    <hyperlink ref="P22" r:id="rId14" display="http://www.konkoly.hu/cgi-bin/IBVS?5897"/>
    <hyperlink ref="P44" r:id="rId15" display="http://var.astro.cz/oejv/issues/oejv0094.pdf"/>
    <hyperlink ref="P45" r:id="rId16" display="http://var.astro.cz/oejv/issues/oejv0094.pdf"/>
    <hyperlink ref="P46" r:id="rId17" display="http://var.astro.cz/oejv/issues/oejv0094.pdf"/>
    <hyperlink ref="P47" r:id="rId18" display="http://var.astro.cz/oejv/issues/oejv0094.pdf"/>
    <hyperlink ref="P23" r:id="rId19" display="http://www.konkoly.hu/cgi-bin/IBVS?5897"/>
    <hyperlink ref="P48" r:id="rId20" display="http://var.astro.cz/oejv/issues/oejv0107.pdf"/>
    <hyperlink ref="P24" r:id="rId21" display="http://www.konkoly.hu/cgi-bin/IBVS?5945"/>
    <hyperlink ref="P25" r:id="rId22" display="http://www.konkoly.hu/cgi-bin/IBVS?5992"/>
    <hyperlink ref="P26" r:id="rId23" display="http://www.konkoly.hu/cgi-bin/IBVS?5990"/>
    <hyperlink ref="P27" r:id="rId24" display="http://www.konkoly.hu/cgi-bin/IBVS?5992"/>
    <hyperlink ref="P28" r:id="rId25" display="http://www.konkoly.hu/cgi-bin/IBVS?6011"/>
    <hyperlink ref="P29" r:id="rId26" display="http://var.astro.cz/oejv/issues/oejv0160.pdf"/>
    <hyperlink ref="P30" r:id="rId27" display="http://www.konkoly.hu/cgi-bin/IBVS?6029"/>
    <hyperlink ref="P31" r:id="rId28" display="http://www.konkoly.hu/cgi-bin/IBVS?6063"/>
    <hyperlink ref="P32" r:id="rId29" display="http://www.konkoly.hu/cgi-bin/IBVS?606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2024-01-27T06:33:13Z</dcterms:modified>
</cp:coreProperties>
</file>