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AEA9FF3-123A-4768-8C67-9EA10ED690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F15" i="3" l="1"/>
  <c r="F16" i="3" s="1"/>
  <c r="C9" i="3"/>
  <c r="D9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7" i="3"/>
  <c r="F27" i="3"/>
  <c r="G27" i="3"/>
  <c r="E28" i="3"/>
  <c r="F28" i="3"/>
  <c r="G28" i="3"/>
  <c r="E26" i="3"/>
  <c r="F26" i="3"/>
  <c r="C17" i="3"/>
  <c r="Q21" i="3"/>
  <c r="Q22" i="3"/>
  <c r="Q23" i="3"/>
  <c r="Q24" i="3"/>
  <c r="Q25" i="3"/>
  <c r="Q26" i="3"/>
  <c r="Q27" i="3"/>
  <c r="Q28" i="3"/>
  <c r="E24" i="1"/>
  <c r="F24" i="1"/>
  <c r="G24" i="1"/>
  <c r="E25" i="1"/>
  <c r="F25" i="1"/>
  <c r="G25" i="1"/>
  <c r="E22" i="1"/>
  <c r="F22" i="1"/>
  <c r="G22" i="1"/>
  <c r="I22" i="1"/>
  <c r="D9" i="1"/>
  <c r="C9" i="1"/>
  <c r="E23" i="1"/>
  <c r="F23" i="1"/>
  <c r="G23" i="1"/>
  <c r="E27" i="1"/>
  <c r="F27" i="1"/>
  <c r="G27" i="1"/>
  <c r="E28" i="1"/>
  <c r="F28" i="1"/>
  <c r="G28" i="1"/>
  <c r="E26" i="1"/>
  <c r="F26" i="1"/>
  <c r="Q24" i="1"/>
  <c r="Q25" i="1"/>
  <c r="Q22" i="1"/>
  <c r="G14" i="2"/>
  <c r="C14" i="2"/>
  <c r="E14" i="2"/>
  <c r="G13" i="2"/>
  <c r="C13" i="2"/>
  <c r="E13" i="2"/>
  <c r="G12" i="2"/>
  <c r="C12" i="2"/>
  <c r="E12" i="2"/>
  <c r="G16" i="2"/>
  <c r="C16" i="2"/>
  <c r="E16" i="2"/>
  <c r="G15" i="2"/>
  <c r="C15" i="2"/>
  <c r="E15" i="2"/>
  <c r="G11" i="2"/>
  <c r="C11" i="2"/>
  <c r="E11" i="2"/>
  <c r="G17" i="2"/>
  <c r="C17" i="2"/>
  <c r="E17" i="2"/>
  <c r="H14" i="2"/>
  <c r="B14" i="2"/>
  <c r="D14" i="2"/>
  <c r="A14" i="2"/>
  <c r="H13" i="2"/>
  <c r="D13" i="2"/>
  <c r="B13" i="2"/>
  <c r="A13" i="2"/>
  <c r="H12" i="2"/>
  <c r="D12" i="2"/>
  <c r="B12" i="2"/>
  <c r="A12" i="2"/>
  <c r="H16" i="2"/>
  <c r="D16" i="2"/>
  <c r="B16" i="2"/>
  <c r="A16" i="2"/>
  <c r="H15" i="2"/>
  <c r="D15" i="2"/>
  <c r="B15" i="2"/>
  <c r="A15" i="2"/>
  <c r="H11" i="2"/>
  <c r="D11" i="2"/>
  <c r="B11" i="2"/>
  <c r="A11" i="2"/>
  <c r="H17" i="2"/>
  <c r="D17" i="2"/>
  <c r="B17" i="2"/>
  <c r="A17" i="2"/>
  <c r="E21" i="1"/>
  <c r="F21" i="1"/>
  <c r="G21" i="1"/>
  <c r="Q28" i="1"/>
  <c r="F17" i="1"/>
  <c r="C17" i="1"/>
  <c r="K27" i="1"/>
  <c r="Q27" i="1"/>
  <c r="Q23" i="1"/>
  <c r="Q26" i="1"/>
  <c r="Q21" i="1"/>
  <c r="I25" i="1"/>
  <c r="I23" i="1"/>
  <c r="J24" i="3"/>
  <c r="J28" i="1"/>
  <c r="J28" i="3"/>
  <c r="I23" i="3"/>
  <c r="I22" i="3"/>
  <c r="K27" i="3"/>
  <c r="J24" i="1"/>
  <c r="I25" i="3"/>
  <c r="C11" i="3"/>
  <c r="C11" i="1"/>
  <c r="C12" i="3"/>
  <c r="C12" i="1"/>
  <c r="C16" i="1" l="1"/>
  <c r="D18" i="1" s="1"/>
  <c r="C16" i="3"/>
  <c r="D18" i="3" s="1"/>
  <c r="O26" i="1"/>
  <c r="O21" i="1"/>
  <c r="R21" i="1" s="1"/>
  <c r="C15" i="1"/>
  <c r="O23" i="1"/>
  <c r="R23" i="1" s="1"/>
  <c r="O25" i="1"/>
  <c r="R25" i="1" s="1"/>
  <c r="O27" i="1"/>
  <c r="R27" i="1" s="1"/>
  <c r="O24" i="1"/>
  <c r="R24" i="1" s="1"/>
  <c r="O22" i="1"/>
  <c r="R22" i="1" s="1"/>
  <c r="O28" i="1"/>
  <c r="R28" i="1" s="1"/>
  <c r="O28" i="3"/>
  <c r="R28" i="3" s="1"/>
  <c r="O26" i="3"/>
  <c r="O22" i="3"/>
  <c r="R22" i="3" s="1"/>
  <c r="C15" i="3"/>
  <c r="O23" i="3"/>
  <c r="R23" i="3" s="1"/>
  <c r="O25" i="3"/>
  <c r="R25" i="3" s="1"/>
  <c r="O21" i="3"/>
  <c r="R21" i="3" s="1"/>
  <c r="O24" i="3"/>
  <c r="R24" i="3" s="1"/>
  <c r="O27" i="3"/>
  <c r="R27" i="3" s="1"/>
  <c r="R18" i="1" l="1"/>
  <c r="C18" i="3"/>
  <c r="F17" i="3"/>
  <c r="F18" i="3" s="1"/>
  <c r="C18" i="1"/>
  <c r="F18" i="1"/>
  <c r="F19" i="1" s="1"/>
  <c r="R18" i="3"/>
</calcChain>
</file>

<file path=xl/sharedStrings.xml><?xml version="1.0" encoding="utf-8"?>
<sst xmlns="http://schemas.openxmlformats.org/spreadsheetml/2006/main" count="194" uniqueCount="94">
  <si>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</si>
  <si>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</si>
  <si>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</si>
  <si>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</si>
  <si>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</si>
  <si>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</si>
  <si>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</si>
  <si>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</si>
  <si>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</si>
  <si>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</si>
  <si>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</si>
  <si>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</si>
  <si>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</si>
  <si>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</si>
  <si>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</si>
  <si>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</si>
  <si>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</si>
  <si>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</si>
  <si>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</si>
  <si>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</si>
  <si>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</si>
  <si>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</si>
  <si>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</si>
  <si>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</si>
  <si>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</si>
  <si>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</si>
  <si>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</si>
  <si>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</si>
  <si>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ASAS</t>
  </si>
  <si>
    <t>IBVS 5438</t>
  </si>
  <si>
    <t>I</t>
  </si>
  <si>
    <t>IBVS 5653</t>
  </si>
  <si>
    <t>RS CMi / gsc 0183-0361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</si>
  <si>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</si>
  <si>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</si>
  <si>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</si>
  <si>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</si>
  <si>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</si>
  <si>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</si>
  <si>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</si>
  <si>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</si>
  <si>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5874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</si>
  <si>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</si>
  <si>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</si>
  <si>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</si>
  <si>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</si>
  <si>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</si>
  <si>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</si>
  <si>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</si>
  <si>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</si>
  <si>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</si>
  <si>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</si>
  <si>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</si>
  <si>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2451198.32 </t>
  </si>
  <si>
    <t> 19.01.1999 19:40 </t>
  </si>
  <si>
    <t> -0.04 </t>
  </si>
  <si>
    <t>E </t>
  </si>
  <si>
    <t>?</t>
  </si>
  <si>
    <t> A.Paschke </t>
  </si>
  <si>
    <t> BBS 120 </t>
  </si>
  <si>
    <t>2451560.363 </t>
  </si>
  <si>
    <t> 16.01.2000 20:42 </t>
  </si>
  <si>
    <t> -0.022 </t>
  </si>
  <si>
    <t> BBS 129 </t>
  </si>
  <si>
    <t>2451957.34 </t>
  </si>
  <si>
    <t> 16.02.2001 20:09 </t>
  </si>
  <si>
    <t> -0.02 </t>
  </si>
  <si>
    <t> BBS 125 </t>
  </si>
  <si>
    <t>2451967.327 </t>
  </si>
  <si>
    <t> 26.02.2001 19:50 </t>
  </si>
  <si>
    <t> R.Diethelm </t>
  </si>
  <si>
    <t> BBS 124 </t>
  </si>
  <si>
    <t>2453350.49 </t>
  </si>
  <si>
    <t> 10.12.2004 23:45 </t>
  </si>
  <si>
    <t> A. Paschke </t>
  </si>
  <si>
    <t>IBVS 5653 </t>
  </si>
  <si>
    <t>2454149.4416 </t>
  </si>
  <si>
    <t> 17.02.2007 22:35 </t>
  </si>
  <si>
    <t> -0.0318 </t>
  </si>
  <si>
    <t>C </t>
  </si>
  <si>
    <t>-I</t>
  </si>
  <si>
    <t> F.Agerer </t>
  </si>
  <si>
    <t>BAVM 186 </t>
  </si>
  <si>
    <t>2454516.4524 </t>
  </si>
  <si>
    <t> 19.02.2008 22:51 </t>
  </si>
  <si>
    <t>11725</t>
  </si>
  <si>
    <t> -0.0373 </t>
  </si>
  <si>
    <t>BAVM 201 </t>
  </si>
  <si>
    <t>BAD?</t>
  </si>
  <si>
    <t>VSX</t>
  </si>
  <si>
    <r>
      <t>diff</t>
    </r>
    <r>
      <rPr>
        <b/>
        <vertAlign val="superscript"/>
        <sz val="10"/>
        <rFont val="Arial"/>
        <family val="2"/>
      </rPr>
      <t>2</t>
    </r>
  </si>
  <si>
    <t>Add cycle</t>
  </si>
  <si>
    <t>Old Cycle</t>
  </si>
  <si>
    <t>Local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</si>
</sst>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56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3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0" xfId="0" applyAlignment="1">
      <alignment horizontal="center" wrapText="1"/>
    </xf>
    <xf numFmtId="0" fontId="14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CMi - O-C Diagr.</a:t>
            </a:r>
          </a:p>
        </c:rich>
      </c:tx>
      <c:layout>
        <c:manualLayout>
          <c:xMode val="edge"/>
          <c:yMode val="edge"/>
          <c:x val="0.3848491211325856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2445316118188"/>
          <c:y val="0.14634168126798494"/>
          <c:w val="0.81060726001310968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BE-4C59-9849-84ECA32613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-4.2160000004514586E-2</c:v>
                </c:pt>
                <c:pt idx="2">
                  <c:v>-2.2110000005341135E-2</c:v>
                </c:pt>
                <c:pt idx="4">
                  <c:v>-2.184000000852393E-2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BE-4C59-9849-84ECA32613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-2.200000000448199E-2</c:v>
                </c:pt>
                <c:pt idx="7">
                  <c:v>-3.7349999998696148E-2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BE-4C59-9849-84ECA32613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-3.177999999752501E-2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BE-4C59-9849-84ECA32613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BE-4C59-9849-84ECA32613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BE-4C59-9849-84ECA32613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BE-4C59-9849-84ECA32613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2.6897708619623775E-4</c:v>
                </c:pt>
                <c:pt idx="1">
                  <c:v>-2.8098597112741323E-2</c:v>
                </c:pt>
                <c:pt idx="2">
                  <c:v>-2.8494258738255552E-2</c:v>
                </c:pt>
                <c:pt idx="3">
                  <c:v>-2.8928122175888398E-2</c:v>
                </c:pt>
                <c:pt idx="4">
                  <c:v>-2.8939036979350862E-2</c:v>
                </c:pt>
                <c:pt idx="5">
                  <c:v>-3.0450737258901784E-2</c:v>
                </c:pt>
                <c:pt idx="6">
                  <c:v>-3.1323921535898705E-2</c:v>
                </c:pt>
                <c:pt idx="7">
                  <c:v>-3.1725040563144166E-2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BE-4C59-9849-84ECA326134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">
                  <c:v>0.28862499999377178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BE-4C59-9849-84ECA3261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430712"/>
        <c:axId val="1"/>
      </c:scatterChart>
      <c:valAx>
        <c:axId val="7194307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2735226278533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8484848484848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430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3062117235343"/>
          <c:y val="0.92073298764483702"/>
          <c:w val="0.7287889922850554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CMi - O-C Diagr.</a:t>
            </a:r>
          </a:p>
        </c:rich>
      </c:tx>
      <c:layout>
        <c:manualLayout>
          <c:xMode val="edge"/>
          <c:yMode val="edge"/>
          <c:x val="0.38577944020234989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3171710396557"/>
          <c:y val="0.1458966565349544"/>
          <c:w val="0.8199703485266970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87-4893-99A8-102D15C3E2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-4.2160000004514586E-2</c:v>
                </c:pt>
                <c:pt idx="2">
                  <c:v>-2.2110000005341135E-2</c:v>
                </c:pt>
                <c:pt idx="4">
                  <c:v>-2.184000000852393E-2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87-4893-99A8-102D15C3E2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-2.200000000448199E-2</c:v>
                </c:pt>
                <c:pt idx="7">
                  <c:v>-3.7349999998696148E-2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87-4893-99A8-102D15C3E2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-3.177999999752501E-2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87-4893-99A8-102D15C3E2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87-4893-99A8-102D15C3E2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87-4893-99A8-102D15C3E2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87-4893-99A8-102D15C3E2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2.6897708619623775E-4</c:v>
                </c:pt>
                <c:pt idx="1">
                  <c:v>-2.8098597112741323E-2</c:v>
                </c:pt>
                <c:pt idx="2">
                  <c:v>-2.8494258738255552E-2</c:v>
                </c:pt>
                <c:pt idx="3">
                  <c:v>-2.8928122175888398E-2</c:v>
                </c:pt>
                <c:pt idx="4">
                  <c:v>-2.8939036979350862E-2</c:v>
                </c:pt>
                <c:pt idx="5">
                  <c:v>-3.0450737258901784E-2</c:v>
                </c:pt>
                <c:pt idx="6">
                  <c:v>-3.1323921535898705E-2</c:v>
                </c:pt>
                <c:pt idx="7">
                  <c:v>-3.1725040563144166E-2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87-4893-99A8-102D15C3E28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10396</c:v>
                </c:pt>
                <c:pt idx="2">
                  <c:v>10541</c:v>
                </c:pt>
                <c:pt idx="3">
                  <c:v>10700</c:v>
                </c:pt>
                <c:pt idx="4">
                  <c:v>10704</c:v>
                </c:pt>
                <c:pt idx="5">
                  <c:v>11258</c:v>
                </c:pt>
                <c:pt idx="6">
                  <c:v>11578</c:v>
                </c:pt>
                <c:pt idx="7">
                  <c:v>11725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">
                  <c:v>0.28862499999377178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87-4893-99A8-102D15C3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194832"/>
        <c:axId val="1"/>
      </c:scatterChart>
      <c:valAx>
        <c:axId val="790194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496368740594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1149773071104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194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18472766547146"/>
          <c:y val="0.92097264437689974"/>
          <c:w val="0.7276858017558698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CMi - O-C Diagr.</a:t>
            </a:r>
          </a:p>
        </c:rich>
      </c:tx>
      <c:layout>
        <c:manualLayout>
          <c:xMode val="edge"/>
          <c:yMode val="edge"/>
          <c:x val="0.3829463875155140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3197542995311"/>
          <c:y val="0.14634168126798494"/>
          <c:w val="0.82945862018323069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5162.5</c:v>
                </c:pt>
                <c:pt idx="2">
                  <c:v>5234.5</c:v>
                </c:pt>
                <c:pt idx="3">
                  <c:v>5313.5</c:v>
                </c:pt>
                <c:pt idx="4">
                  <c:v>5315.5</c:v>
                </c:pt>
                <c:pt idx="5">
                  <c:v>5590.5</c:v>
                </c:pt>
                <c:pt idx="6">
                  <c:v>5749.5</c:v>
                </c:pt>
                <c:pt idx="7">
                  <c:v>5822.5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53-43DE-9369-1B1AFA8A96A2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5162.5</c:v>
                </c:pt>
                <c:pt idx="2">
                  <c:v>5234.5</c:v>
                </c:pt>
                <c:pt idx="3">
                  <c:v>5313.5</c:v>
                </c:pt>
                <c:pt idx="4">
                  <c:v>5315.5</c:v>
                </c:pt>
                <c:pt idx="5">
                  <c:v>5590.5</c:v>
                </c:pt>
                <c:pt idx="6">
                  <c:v>5749.5</c:v>
                </c:pt>
                <c:pt idx="7">
                  <c:v>5822.5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-4.3749999967985786E-3</c:v>
                </c:pt>
                <c:pt idx="2">
                  <c:v>4.0624999994179234E-2</c:v>
                </c:pt>
                <c:pt idx="4">
                  <c:v>-0.24312500000087311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53-43DE-9369-1B1AFA8A96A2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5162.5</c:v>
                </c:pt>
                <c:pt idx="2">
                  <c:v>5234.5</c:v>
                </c:pt>
                <c:pt idx="3">
                  <c:v>5313.5</c:v>
                </c:pt>
                <c:pt idx="4">
                  <c:v>5315.5</c:v>
                </c:pt>
                <c:pt idx="5">
                  <c:v>5590.5</c:v>
                </c:pt>
                <c:pt idx="6">
                  <c:v>5749.5</c:v>
                </c:pt>
                <c:pt idx="7">
                  <c:v>5822.5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3">
                  <c:v>-0.17462499999965075</c:v>
                </c:pt>
                <c:pt idx="7">
                  <c:v>-0.18697499999689171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53-43DE-9369-1B1AFA8A96A2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5162.5</c:v>
                </c:pt>
                <c:pt idx="2">
                  <c:v>5234.5</c:v>
                </c:pt>
                <c:pt idx="3">
                  <c:v>5313.5</c:v>
                </c:pt>
                <c:pt idx="4">
                  <c:v>5315.5</c:v>
                </c:pt>
                <c:pt idx="5">
                  <c:v>5590.5</c:v>
                </c:pt>
                <c:pt idx="6">
                  <c:v>5749.5</c:v>
                </c:pt>
                <c:pt idx="7">
                  <c:v>5822.5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  <c:pt idx="6">
                  <c:v>-0.17202499999984866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53-43DE-9369-1B1AFA8A96A2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5162.5</c:v>
                </c:pt>
                <c:pt idx="2">
                  <c:v>5234.5</c:v>
                </c:pt>
                <c:pt idx="3">
                  <c:v>5313.5</c:v>
                </c:pt>
                <c:pt idx="4">
                  <c:v>5315.5</c:v>
                </c:pt>
                <c:pt idx="5">
                  <c:v>5590.5</c:v>
                </c:pt>
                <c:pt idx="6">
                  <c:v>5749.5</c:v>
                </c:pt>
                <c:pt idx="7">
                  <c:v>5822.5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53-43DE-9369-1B1AFA8A96A2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5162.5</c:v>
                </c:pt>
                <c:pt idx="2">
                  <c:v>5234.5</c:v>
                </c:pt>
                <c:pt idx="3">
                  <c:v>5313.5</c:v>
                </c:pt>
                <c:pt idx="4">
                  <c:v>5315.5</c:v>
                </c:pt>
                <c:pt idx="5">
                  <c:v>5590.5</c:v>
                </c:pt>
                <c:pt idx="6">
                  <c:v>5749.5</c:v>
                </c:pt>
                <c:pt idx="7">
                  <c:v>5822.5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53-43DE-9369-1B1AFA8A96A2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0.01</c:v>
                  </c:pt>
                  <c:pt idx="6">
                    <c:v>1.1999999999999999E-3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5162.5</c:v>
                </c:pt>
                <c:pt idx="2">
                  <c:v>5234.5</c:v>
                </c:pt>
                <c:pt idx="3">
                  <c:v>5313.5</c:v>
                </c:pt>
                <c:pt idx="4">
                  <c:v>5315.5</c:v>
                </c:pt>
                <c:pt idx="5">
                  <c:v>5590.5</c:v>
                </c:pt>
                <c:pt idx="6">
                  <c:v>5749.5</c:v>
                </c:pt>
                <c:pt idx="7">
                  <c:v>5822.5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53-43DE-9369-1B1AFA8A96A2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5162.5</c:v>
                </c:pt>
                <c:pt idx="2">
                  <c:v>5234.5</c:v>
                </c:pt>
                <c:pt idx="3">
                  <c:v>5313.5</c:v>
                </c:pt>
                <c:pt idx="4">
                  <c:v>5315.5</c:v>
                </c:pt>
                <c:pt idx="5">
                  <c:v>5590.5</c:v>
                </c:pt>
                <c:pt idx="6">
                  <c:v>5749.5</c:v>
                </c:pt>
                <c:pt idx="7">
                  <c:v>5822.5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1.3738875761915958E-2</c:v>
                </c:pt>
                <c:pt idx="1">
                  <c:v>-0.118763727859338</c:v>
                </c:pt>
                <c:pt idx="2">
                  <c:v>-0.12061170605996371</c:v>
                </c:pt>
                <c:pt idx="3">
                  <c:v>-0.1226393488078725</c:v>
                </c:pt>
                <c:pt idx="4">
                  <c:v>-0.12269068153566767</c:v>
                </c:pt>
                <c:pt idx="5">
                  <c:v>-0.129748931607502</c:v>
                </c:pt>
                <c:pt idx="6">
                  <c:v>-0.13382988346721714</c:v>
                </c:pt>
                <c:pt idx="7">
                  <c:v>-0.13570352803174043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53-43DE-9369-1B1AFA8A96A2}"/>
            </c:ext>
          </c:extLst>
        </c:ser>
        <c:ser>
          <c:idx val="8"/>
          <c:order val="8"/>
          <c:tx>
            <c:strRef>
              <c:f>'A (old)'!$U$20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5162.5</c:v>
                </c:pt>
                <c:pt idx="2">
                  <c:v>5234.5</c:v>
                </c:pt>
                <c:pt idx="3">
                  <c:v>5313.5</c:v>
                </c:pt>
                <c:pt idx="4">
                  <c:v>5315.5</c:v>
                </c:pt>
                <c:pt idx="5">
                  <c:v>5590.5</c:v>
                </c:pt>
                <c:pt idx="6">
                  <c:v>5749.5</c:v>
                </c:pt>
                <c:pt idx="7">
                  <c:v>5822.5</c:v>
                </c:pt>
              </c:numCache>
            </c:numRef>
          </c:xVal>
          <c:yVal>
            <c:numRef>
              <c:f>'A (old)'!$U$21:$U$999</c:f>
              <c:numCache>
                <c:formatCode>General</c:formatCode>
                <c:ptCount val="979"/>
                <c:pt idx="5">
                  <c:v>0.28862499999377178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53-43DE-9369-1B1AFA8A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427832"/>
        <c:axId val="1"/>
      </c:scatterChart>
      <c:valAx>
        <c:axId val="719427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310464098965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12403100775193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427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914761236240818"/>
          <c:y val="0.92073298764483702"/>
          <c:w val="0.93488518586339497"/>
          <c:h val="0.981708597400934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28575</xdr:rowOff>
    </xdr:from>
    <xdr:to>
      <xdr:col>17</xdr:col>
      <xdr:colOff>590550</xdr:colOff>
      <xdr:row>18</xdr:row>
      <xdr:rowOff>66675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CB0B19CF-9399-F285-D8B9-66F975071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123825</xdr:colOff>
      <xdr:row>18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4979BE37-B89E-97C9-687A-C20BEB335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609600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45AD3DF-57DF-4568-1473-16010372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1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konkoly.hu/cgi-bin/IBVS?5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26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23</v>
      </c>
      <c r="B2" s="14" t="s">
        <v>33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25242.564999999999</v>
      </c>
      <c r="D4" s="9">
        <v>2.4967100000000002</v>
      </c>
    </row>
    <row r="5" spans="1:6" ht="13.5" thickTop="1" x14ac:dyDescent="0.2">
      <c r="A5" s="15" t="s">
        <v>34</v>
      </c>
      <c r="B5" s="16"/>
      <c r="C5" s="17">
        <v>-9.5</v>
      </c>
      <c r="D5" s="16" t="s">
        <v>35</v>
      </c>
    </row>
    <row r="6" spans="1:6" x14ac:dyDescent="0.2">
      <c r="A6" s="5" t="s">
        <v>1</v>
      </c>
    </row>
    <row r="7" spans="1:6" x14ac:dyDescent="0.2">
      <c r="A7" t="s">
        <v>2</v>
      </c>
      <c r="C7" s="28">
        <v>25242.564999999999</v>
      </c>
    </row>
    <row r="8" spans="1:6" x14ac:dyDescent="0.2">
      <c r="A8" t="s">
        <v>3</v>
      </c>
      <c r="C8" s="28">
        <v>2.4967100000000002</v>
      </c>
      <c r="D8" t="s">
        <v>89</v>
      </c>
    </row>
    <row r="9" spans="1:6" x14ac:dyDescent="0.2">
      <c r="A9" s="32" t="s">
        <v>40</v>
      </c>
      <c r="B9" s="33">
        <v>21</v>
      </c>
      <c r="C9" s="30" t="str">
        <f>"F"&amp;B9</f>
        <v>F21</v>
      </c>
      <c r="D9" s="31" t="str">
        <f>"G"&amp;B9</f>
        <v>G21</v>
      </c>
    </row>
    <row r="10" spans="1:6" ht="13.5" thickBot="1" x14ac:dyDescent="0.25">
      <c r="A10" s="16"/>
      <c r="B10" s="16"/>
      <c r="C10" s="4" t="s">
        <v>19</v>
      </c>
      <c r="D10" s="4" t="s">
        <v>20</v>
      </c>
      <c r="E10" s="16"/>
    </row>
    <row r="11" spans="1:6" x14ac:dyDescent="0.2">
      <c r="A11" s="16" t="s">
        <v>15</v>
      </c>
      <c r="B11" s="16"/>
      <c r="C11" s="29">
        <f ca="1">INTERCEPT(INDIRECT($D$9):G992,INDIRECT($C$9):F992)</f>
        <v>2.6897708619623775E-4</v>
      </c>
      <c r="D11" s="3"/>
      <c r="E11" s="16"/>
    </row>
    <row r="12" spans="1:6" x14ac:dyDescent="0.2">
      <c r="A12" s="16" t="s">
        <v>16</v>
      </c>
      <c r="B12" s="16"/>
      <c r="C12" s="29">
        <f ca="1">SLOPE(INDIRECT($D$9):G992,INDIRECT($C$9):F992)</f>
        <v>-2.7287008656153867E-6</v>
      </c>
      <c r="D12" s="3"/>
      <c r="E12" s="16"/>
    </row>
    <row r="13" spans="1:6" x14ac:dyDescent="0.2">
      <c r="A13" s="16" t="s">
        <v>18</v>
      </c>
      <c r="B13" s="16"/>
      <c r="C13" s="3" t="s">
        <v>13</v>
      </c>
    </row>
    <row r="14" spans="1:6" x14ac:dyDescent="0.2">
      <c r="A14" s="16"/>
      <c r="B14" s="16"/>
      <c r="C14" s="16"/>
      <c r="E14" s="20" t="s">
        <v>91</v>
      </c>
      <c r="F14" s="55">
        <v>1</v>
      </c>
    </row>
    <row r="15" spans="1:6" x14ac:dyDescent="0.2">
      <c r="A15" s="18" t="s">
        <v>17</v>
      </c>
      <c r="B15" s="16"/>
      <c r="C15" s="19">
        <f ca="1">(C7+C11)+(C8+C12)*INT(MAX(F21:F3533))</f>
        <v>54516.458024959436</v>
      </c>
      <c r="E15" s="20" t="s">
        <v>36</v>
      </c>
      <c r="F15" s="56">
        <f ca="1">NOW()+15018.5+$C$5/24</f>
        <v>60338.675619907408</v>
      </c>
    </row>
    <row r="16" spans="1:6" x14ac:dyDescent="0.2">
      <c r="A16" s="22" t="s">
        <v>4</v>
      </c>
      <c r="B16" s="16"/>
      <c r="C16" s="23">
        <f ca="1">+C8+C12</f>
        <v>2.4967072712991345</v>
      </c>
      <c r="E16" s="20" t="s">
        <v>92</v>
      </c>
      <c r="F16" s="29">
        <f ca="1">ROUND(2*(F15-$C$7)/$C$8,0)/2+F14</f>
        <v>14058</v>
      </c>
    </row>
    <row r="17" spans="1:21" ht="13.5" thickBot="1" x14ac:dyDescent="0.25">
      <c r="A17" s="20" t="s">
        <v>27</v>
      </c>
      <c r="B17" s="16"/>
      <c r="C17" s="16">
        <f>COUNT(C21:C2191)</f>
        <v>8</v>
      </c>
      <c r="E17" s="20" t="s">
        <v>37</v>
      </c>
      <c r="F17" s="31">
        <f ca="1">ROUND(2*(F15-$C$15)/$C$16,0)/2+F14</f>
        <v>2333</v>
      </c>
    </row>
    <row r="18" spans="1:21" ht="14.25" thickTop="1" thickBot="1" x14ac:dyDescent="0.25">
      <c r="A18" s="22" t="s">
        <v>5</v>
      </c>
      <c r="B18" s="16"/>
      <c r="C18" s="25">
        <f ca="1">+C15</f>
        <v>54516.458024959436</v>
      </c>
      <c r="D18" s="26">
        <f ca="1">+C16</f>
        <v>2.4967072712991345</v>
      </c>
      <c r="E18" s="20" t="s">
        <v>38</v>
      </c>
      <c r="F18" s="24">
        <f ca="1">+$C$15+$C$16*F17-15018.5-$C$5/24</f>
        <v>45323.171922233654</v>
      </c>
      <c r="R18">
        <f ca="1">SQRT(SUM(R21:R41)/COUNT(R21:R41))</f>
        <v>7.258468339772197E-3</v>
      </c>
    </row>
    <row r="19" spans="1:21" ht="13.5" thickTop="1" x14ac:dyDescent="0.2">
      <c r="F19" s="57" t="s">
        <v>93</v>
      </c>
    </row>
    <row r="20" spans="1:21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46</v>
      </c>
      <c r="K20" s="7" t="s">
        <v>44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54" t="s">
        <v>90</v>
      </c>
      <c r="U20" s="53" t="s">
        <v>88</v>
      </c>
    </row>
    <row r="21" spans="1:21" x14ac:dyDescent="0.2">
      <c r="A21" t="s">
        <v>28</v>
      </c>
      <c r="C21" s="10">
        <v>25242.564999999999</v>
      </c>
      <c r="D21" s="10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>+C21-(C$7+F21*C$8)</f>
        <v>0</v>
      </c>
      <c r="H21">
        <v>0</v>
      </c>
      <c r="O21">
        <f t="shared" ref="O21:O28" ca="1" si="2">+C$11+C$12*$F21</f>
        <v>2.6897708619623775E-4</v>
      </c>
      <c r="Q21" s="2">
        <f t="shared" ref="Q21:Q28" si="3">+C21-15018.5</f>
        <v>10224.064999999999</v>
      </c>
      <c r="R21">
        <f ca="1">(G21-O21)^2</f>
        <v>7.2348672898618309E-8</v>
      </c>
    </row>
    <row r="22" spans="1:21" x14ac:dyDescent="0.2">
      <c r="A22" s="50" t="s">
        <v>59</v>
      </c>
      <c r="B22" s="52" t="s">
        <v>30</v>
      </c>
      <c r="C22" s="51">
        <v>51198.32</v>
      </c>
      <c r="D22" s="51" t="s">
        <v>52</v>
      </c>
      <c r="E22">
        <f t="shared" si="0"/>
        <v>10395.983113777731</v>
      </c>
      <c r="F22">
        <f t="shared" si="1"/>
        <v>10396</v>
      </c>
      <c r="G22">
        <f>+C22-(C$7+F22*C$8)</f>
        <v>-4.2160000004514586E-2</v>
      </c>
      <c r="I22">
        <f>+G22</f>
        <v>-4.2160000004514586E-2</v>
      </c>
      <c r="O22">
        <f t="shared" ca="1" si="2"/>
        <v>-2.8098597112741323E-2</v>
      </c>
      <c r="Q22" s="2">
        <f t="shared" si="3"/>
        <v>36179.82</v>
      </c>
      <c r="R22">
        <f t="shared" ref="R22:R28" ca="1" si="4">(G22-O22)^2</f>
        <v>1.977230512847695E-4</v>
      </c>
    </row>
    <row r="23" spans="1:21" x14ac:dyDescent="0.2">
      <c r="A23" s="11" t="s">
        <v>29</v>
      </c>
      <c r="B23" s="12" t="s">
        <v>30</v>
      </c>
      <c r="C23" s="13">
        <v>51560.362999999998</v>
      </c>
      <c r="D23" s="13">
        <v>4.0000000000000001E-3</v>
      </c>
      <c r="E23">
        <f t="shared" si="0"/>
        <v>10540.991144345959</v>
      </c>
      <c r="F23">
        <f t="shared" si="1"/>
        <v>10541</v>
      </c>
      <c r="G23">
        <f>+C23-(C$7+F23*C$8)</f>
        <v>-2.2110000005341135E-2</v>
      </c>
      <c r="I23">
        <f>+G23</f>
        <v>-2.2110000005341135E-2</v>
      </c>
      <c r="O23">
        <f t="shared" ca="1" si="2"/>
        <v>-2.8494258738255552E-2</v>
      </c>
      <c r="Q23" s="2">
        <f t="shared" si="3"/>
        <v>36541.862999999998</v>
      </c>
      <c r="R23">
        <f t="shared" ca="1" si="4"/>
        <v>4.0758759568793996E-5</v>
      </c>
    </row>
    <row r="24" spans="1:21" x14ac:dyDescent="0.2">
      <c r="A24" s="50" t="s">
        <v>67</v>
      </c>
      <c r="B24" s="52" t="s">
        <v>30</v>
      </c>
      <c r="C24" s="51">
        <v>51957.34</v>
      </c>
      <c r="D24" s="51" t="s">
        <v>52</v>
      </c>
      <c r="E24">
        <f t="shared" si="0"/>
        <v>10699.991188403937</v>
      </c>
      <c r="F24">
        <f t="shared" si="1"/>
        <v>10700</v>
      </c>
      <c r="G24">
        <f>+C24-(C$7+F24*C$8)</f>
        <v>-2.200000000448199E-2</v>
      </c>
      <c r="J24">
        <f>+G24</f>
        <v>-2.200000000448199E-2</v>
      </c>
      <c r="O24">
        <f t="shared" ca="1" si="2"/>
        <v>-2.8928122175888398E-2</v>
      </c>
      <c r="Q24" s="2">
        <f t="shared" si="3"/>
        <v>36938.839999999997</v>
      </c>
      <c r="R24">
        <f t="shared" ca="1" si="4"/>
        <v>4.7998876821933043E-5</v>
      </c>
    </row>
    <row r="25" spans="1:21" x14ac:dyDescent="0.2">
      <c r="A25" s="50" t="s">
        <v>71</v>
      </c>
      <c r="B25" s="52" t="s">
        <v>30</v>
      </c>
      <c r="C25" s="51">
        <v>51967.326999999997</v>
      </c>
      <c r="D25" s="51" t="s">
        <v>52</v>
      </c>
      <c r="E25">
        <f t="shared" si="0"/>
        <v>10703.991252488273</v>
      </c>
      <c r="F25">
        <f t="shared" si="1"/>
        <v>10704</v>
      </c>
      <c r="G25">
        <f>+C25-(C$7+F25*C$8)</f>
        <v>-2.184000000852393E-2</v>
      </c>
      <c r="I25">
        <f>+G25</f>
        <v>-2.184000000852393E-2</v>
      </c>
      <c r="O25">
        <f t="shared" ca="1" si="2"/>
        <v>-2.8939036979350862E-2</v>
      </c>
      <c r="Q25" s="2">
        <f t="shared" si="3"/>
        <v>36948.826999999997</v>
      </c>
      <c r="R25">
        <f t="shared" ca="1" si="4"/>
        <v>5.0396325913167625E-5</v>
      </c>
    </row>
    <row r="26" spans="1:21" x14ac:dyDescent="0.2">
      <c r="A26" s="11" t="s">
        <v>31</v>
      </c>
      <c r="B26" s="12" t="s">
        <v>30</v>
      </c>
      <c r="C26" s="13">
        <v>53350.49</v>
      </c>
      <c r="D26" s="13">
        <v>0.01</v>
      </c>
      <c r="E26">
        <f t="shared" si="0"/>
        <v>11257.985508929751</v>
      </c>
      <c r="F26">
        <f t="shared" si="1"/>
        <v>11258</v>
      </c>
      <c r="O26">
        <f t="shared" ca="1" si="2"/>
        <v>-3.0450737258901784E-2</v>
      </c>
      <c r="Q26" s="2">
        <f t="shared" si="3"/>
        <v>38331.99</v>
      </c>
      <c r="U26" s="31">
        <v>0.28862499999377178</v>
      </c>
    </row>
    <row r="27" spans="1:21" x14ac:dyDescent="0.2">
      <c r="A27" s="13" t="s">
        <v>39</v>
      </c>
      <c r="B27" s="27"/>
      <c r="C27" s="10">
        <v>54149.441599999998</v>
      </c>
      <c r="D27" s="10">
        <v>1.1999999999999999E-3</v>
      </c>
      <c r="E27">
        <f t="shared" si="0"/>
        <v>11577.987271248963</v>
      </c>
      <c r="F27">
        <f t="shared" si="1"/>
        <v>11578</v>
      </c>
      <c r="G27">
        <f>+C27-(C$7+F27*C$8)</f>
        <v>-3.177999999752501E-2</v>
      </c>
      <c r="K27">
        <f>+G27</f>
        <v>-3.177999999752501E-2</v>
      </c>
      <c r="O27">
        <f t="shared" ca="1" si="2"/>
        <v>-3.1323921535898705E-2</v>
      </c>
      <c r="Q27" s="2">
        <f t="shared" si="3"/>
        <v>39130.941599999998</v>
      </c>
      <c r="R27">
        <f t="shared" ca="1" si="4"/>
        <v>2.0800756315941721E-7</v>
      </c>
    </row>
    <row r="28" spans="1:21" x14ac:dyDescent="0.2">
      <c r="A28" s="34" t="s">
        <v>41</v>
      </c>
      <c r="B28" s="35" t="s">
        <v>30</v>
      </c>
      <c r="C28" s="36">
        <v>54516.452400000002</v>
      </c>
      <c r="D28" s="36">
        <v>1.2999999999999999E-3</v>
      </c>
      <c r="E28">
        <f t="shared" si="0"/>
        <v>11724.985040313053</v>
      </c>
      <c r="F28">
        <f t="shared" si="1"/>
        <v>11725</v>
      </c>
      <c r="G28">
        <f>+C28-(C$7+F28*C$8)</f>
        <v>-3.7349999998696148E-2</v>
      </c>
      <c r="J28">
        <f>+G28</f>
        <v>-3.7349999998696148E-2</v>
      </c>
      <c r="O28">
        <f t="shared" ca="1" si="2"/>
        <v>-3.1725040563144166E-2</v>
      </c>
      <c r="Q28" s="2">
        <f t="shared" si="3"/>
        <v>39497.952400000002</v>
      </c>
      <c r="R28">
        <f t="shared" ca="1" si="4"/>
        <v>3.1640168651605277E-5</v>
      </c>
    </row>
    <row r="29" spans="1:21" x14ac:dyDescent="0.2">
      <c r="B29" s="3"/>
      <c r="C29" s="10"/>
      <c r="D29" s="10"/>
      <c r="Q29" s="2"/>
    </row>
    <row r="30" spans="1:21" x14ac:dyDescent="0.2">
      <c r="B30" s="3"/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0"/>
  <sheetViews>
    <sheetView workbookViewId="0">
      <selection activeCell="R18" sqref="R18:R2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23</v>
      </c>
      <c r="B2" s="14" t="s">
        <v>33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25242.564999999999</v>
      </c>
      <c r="D4" s="9">
        <v>2.4967100000000002</v>
      </c>
    </row>
    <row r="5" spans="1:6" ht="13.5" thickTop="1" x14ac:dyDescent="0.2">
      <c r="A5" s="15" t="s">
        <v>34</v>
      </c>
      <c r="B5" s="16"/>
      <c r="C5" s="17">
        <v>8</v>
      </c>
      <c r="D5" s="16" t="s">
        <v>35</v>
      </c>
    </row>
    <row r="6" spans="1:6" x14ac:dyDescent="0.2">
      <c r="A6" s="5" t="s">
        <v>1</v>
      </c>
    </row>
    <row r="7" spans="1:6" x14ac:dyDescent="0.2">
      <c r="A7" t="s">
        <v>2</v>
      </c>
      <c r="C7" s="28">
        <v>25242.564999999999</v>
      </c>
    </row>
    <row r="8" spans="1:6" x14ac:dyDescent="0.2">
      <c r="A8" t="s">
        <v>3</v>
      </c>
      <c r="C8" s="28">
        <v>5.0277500000000002</v>
      </c>
      <c r="D8" t="s">
        <v>89</v>
      </c>
    </row>
    <row r="9" spans="1:6" x14ac:dyDescent="0.2">
      <c r="A9" s="32" t="s">
        <v>40</v>
      </c>
      <c r="B9" s="33">
        <v>21</v>
      </c>
      <c r="C9" s="30" t="str">
        <f>"F"&amp;B9</f>
        <v>F21</v>
      </c>
      <c r="D9" s="31" t="str">
        <f>"G"&amp;B9</f>
        <v>G21</v>
      </c>
    </row>
    <row r="10" spans="1:6" ht="13.5" thickBot="1" x14ac:dyDescent="0.25">
      <c r="A10" s="16"/>
      <c r="B10" s="16"/>
      <c r="C10" s="4" t="s">
        <v>19</v>
      </c>
      <c r="D10" s="4" t="s">
        <v>20</v>
      </c>
      <c r="E10" s="16"/>
    </row>
    <row r="11" spans="1:6" x14ac:dyDescent="0.2">
      <c r="A11" s="16" t="s">
        <v>15</v>
      </c>
      <c r="B11" s="16"/>
      <c r="C11" s="29">
        <f ca="1">INTERCEPT(INDIRECT($D$9):G992,INDIRECT($C$9):F992)</f>
        <v>1.3738875761915958E-2</v>
      </c>
      <c r="D11" s="3"/>
      <c r="E11" s="16"/>
    </row>
    <row r="12" spans="1:6" x14ac:dyDescent="0.2">
      <c r="A12" s="16" t="s">
        <v>16</v>
      </c>
      <c r="B12" s="16"/>
      <c r="C12" s="29">
        <f ca="1">SLOPE(INDIRECT($D$9):G992,INDIRECT($C$9):F992)</f>
        <v>-2.566636389757946E-5</v>
      </c>
      <c r="D12" s="3"/>
      <c r="E12" s="16"/>
    </row>
    <row r="13" spans="1:6" x14ac:dyDescent="0.2">
      <c r="A13" s="16" t="s">
        <v>18</v>
      </c>
      <c r="B13" s="16"/>
      <c r="C13" s="3" t="s">
        <v>13</v>
      </c>
    </row>
    <row r="14" spans="1:6" x14ac:dyDescent="0.2">
      <c r="A14" s="16"/>
      <c r="B14" s="16"/>
      <c r="C14" s="16"/>
    </row>
    <row r="15" spans="1:6" x14ac:dyDescent="0.2">
      <c r="A15" s="18" t="s">
        <v>17</v>
      </c>
      <c r="B15" s="16"/>
      <c r="C15" s="19">
        <f ca="1">(C7+C11)+(C8+C12)*INT(MAX(F21:F3533))</f>
        <v>54513.989809305145</v>
      </c>
      <c r="E15" s="3"/>
      <c r="F15" s="16"/>
    </row>
    <row r="16" spans="1:6" x14ac:dyDescent="0.2">
      <c r="A16" s="22" t="s">
        <v>4</v>
      </c>
      <c r="B16" s="16"/>
      <c r="C16" s="23">
        <f ca="1">+C8+C12</f>
        <v>5.0277243336361028</v>
      </c>
      <c r="E16" s="16"/>
      <c r="F16" s="16"/>
    </row>
    <row r="17" spans="1:21" ht="13.5" thickBot="1" x14ac:dyDescent="0.25">
      <c r="A17" s="20" t="s">
        <v>27</v>
      </c>
      <c r="B17" s="16"/>
      <c r="C17" s="16">
        <f>COUNT(C21:C2191)</f>
        <v>8</v>
      </c>
      <c r="E17" s="20" t="s">
        <v>36</v>
      </c>
      <c r="F17" s="21">
        <f ca="1">TODAY()+15018.5-B5/24</f>
        <v>60338.5</v>
      </c>
    </row>
    <row r="18" spans="1:21" ht="14.25" thickTop="1" thickBot="1" x14ac:dyDescent="0.25">
      <c r="A18" s="22" t="s">
        <v>5</v>
      </c>
      <c r="B18" s="16"/>
      <c r="C18" s="25">
        <f ca="1">+C15</f>
        <v>54513.989809305145</v>
      </c>
      <c r="D18" s="26">
        <f ca="1">+C16</f>
        <v>5.0277243336361028</v>
      </c>
      <c r="E18" s="20" t="s">
        <v>37</v>
      </c>
      <c r="F18" s="21">
        <f ca="1">ROUND(2*(F17-C15)/C16,0)/2+1</f>
        <v>1159.5</v>
      </c>
      <c r="R18">
        <f ca="1">SQRT(SUM(R21:R41)/COUNT(R21:R41))</f>
        <v>9.3017184976623632E-2</v>
      </c>
    </row>
    <row r="19" spans="1:21" ht="13.5" thickTop="1" x14ac:dyDescent="0.2">
      <c r="E19" s="20" t="s">
        <v>38</v>
      </c>
      <c r="F19" s="24">
        <f ca="1">+C15+C16*F18-15018.5-C5/24</f>
        <v>45324.802840822871</v>
      </c>
    </row>
    <row r="20" spans="1:21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46</v>
      </c>
      <c r="K20" s="7" t="s">
        <v>44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54" t="s">
        <v>90</v>
      </c>
      <c r="U20" s="53" t="s">
        <v>88</v>
      </c>
    </row>
    <row r="21" spans="1:21" x14ac:dyDescent="0.2">
      <c r="A21" t="s">
        <v>28</v>
      </c>
      <c r="C21" s="10">
        <v>25242.564999999999</v>
      </c>
      <c r="D21" s="10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>+C21-(C$7+F21*C$8)</f>
        <v>0</v>
      </c>
      <c r="H21">
        <v>0</v>
      </c>
      <c r="O21">
        <f t="shared" ref="O21:O28" ca="1" si="2">+C$11+C$12*$F21</f>
        <v>1.3738875761915958E-2</v>
      </c>
      <c r="Q21" s="2">
        <f t="shared" ref="Q21:Q28" si="3">+C21-15018.5</f>
        <v>10224.064999999999</v>
      </c>
      <c r="R21">
        <f ca="1">(G21-O21)^2</f>
        <v>1.8875670720136181E-4</v>
      </c>
    </row>
    <row r="22" spans="1:21" x14ac:dyDescent="0.2">
      <c r="A22" s="50" t="s">
        <v>59</v>
      </c>
      <c r="B22" s="52" t="s">
        <v>30</v>
      </c>
      <c r="C22" s="51">
        <v>51198.32</v>
      </c>
      <c r="D22" s="51" t="s">
        <v>52</v>
      </c>
      <c r="E22">
        <f t="shared" si="0"/>
        <v>5162.4991298294462</v>
      </c>
      <c r="F22">
        <f t="shared" si="1"/>
        <v>5162.5</v>
      </c>
      <c r="G22">
        <f>+C22-(C$7+F22*C$8)</f>
        <v>-4.3749999967985786E-3</v>
      </c>
      <c r="I22">
        <f>+G22</f>
        <v>-4.3749999967985786E-3</v>
      </c>
      <c r="O22">
        <f t="shared" ca="1" si="2"/>
        <v>-0.118763727859338</v>
      </c>
      <c r="Q22" s="2">
        <f t="shared" si="3"/>
        <v>36179.82</v>
      </c>
      <c r="R22">
        <f t="shared" ref="R22:R28" ca="1" si="4">(G22-O22)^2</f>
        <v>1.3084781062010104E-2</v>
      </c>
    </row>
    <row r="23" spans="1:21" x14ac:dyDescent="0.2">
      <c r="A23" s="11" t="s">
        <v>29</v>
      </c>
      <c r="B23" s="12" t="s">
        <v>30</v>
      </c>
      <c r="C23" s="13">
        <v>51560.362999999998</v>
      </c>
      <c r="D23" s="13">
        <v>4.0000000000000001E-3</v>
      </c>
      <c r="E23">
        <f t="shared" si="0"/>
        <v>5234.5080801551385</v>
      </c>
      <c r="F23">
        <f t="shared" si="1"/>
        <v>5234.5</v>
      </c>
      <c r="G23">
        <f>+C23-(C$7+F23*C$8)</f>
        <v>4.0624999994179234E-2</v>
      </c>
      <c r="I23">
        <f>+G23</f>
        <v>4.0624999994179234E-2</v>
      </c>
      <c r="O23">
        <f t="shared" ca="1" si="2"/>
        <v>-0.12061170605996371</v>
      </c>
      <c r="Q23" s="2">
        <f t="shared" si="3"/>
        <v>36541.862999999998</v>
      </c>
      <c r="R23">
        <f t="shared" ca="1" si="4"/>
        <v>2.5997275379190096E-2</v>
      </c>
    </row>
    <row r="24" spans="1:21" x14ac:dyDescent="0.2">
      <c r="A24" s="50" t="s">
        <v>67</v>
      </c>
      <c r="B24" s="52" t="s">
        <v>30</v>
      </c>
      <c r="C24" s="51">
        <v>51957.34</v>
      </c>
      <c r="D24" s="51" t="s">
        <v>52</v>
      </c>
      <c r="E24">
        <f t="shared" si="0"/>
        <v>5313.4652677639097</v>
      </c>
      <c r="F24">
        <f t="shared" si="1"/>
        <v>5313.5</v>
      </c>
      <c r="G24">
        <f>+C24-(C$7+F24*C$8)</f>
        <v>-0.17462499999965075</v>
      </c>
      <c r="J24">
        <f>+G24</f>
        <v>-0.17462499999965075</v>
      </c>
      <c r="O24">
        <f t="shared" ca="1" si="2"/>
        <v>-0.1226393488078725</v>
      </c>
      <c r="Q24" s="2">
        <f t="shared" si="3"/>
        <v>36938.839999999997</v>
      </c>
      <c r="R24">
        <f t="shared" ca="1" si="4"/>
        <v>2.7025079298332358E-3</v>
      </c>
    </row>
    <row r="25" spans="1:21" x14ac:dyDescent="0.2">
      <c r="A25" s="50" t="s">
        <v>71</v>
      </c>
      <c r="B25" s="52" t="s">
        <v>30</v>
      </c>
      <c r="C25" s="51">
        <v>51967.326999999997</v>
      </c>
      <c r="D25" s="51" t="s">
        <v>52</v>
      </c>
      <c r="E25">
        <f t="shared" si="0"/>
        <v>5315.4516433792451</v>
      </c>
      <c r="F25">
        <f t="shared" si="1"/>
        <v>5315.5</v>
      </c>
      <c r="G25">
        <f>+C25-(C$7+F25*C$8)</f>
        <v>-0.24312500000087311</v>
      </c>
      <c r="I25">
        <f>+G25</f>
        <v>-0.24312500000087311</v>
      </c>
      <c r="O25">
        <f t="shared" ca="1" si="2"/>
        <v>-0.12269068153566767</v>
      </c>
      <c r="Q25" s="2">
        <f t="shared" si="3"/>
        <v>36948.826999999997</v>
      </c>
      <c r="R25">
        <f t="shared" ca="1" si="4"/>
        <v>1.4504425064178525E-2</v>
      </c>
    </row>
    <row r="26" spans="1:21" x14ac:dyDescent="0.2">
      <c r="A26" s="11" t="s">
        <v>31</v>
      </c>
      <c r="B26" s="12" t="s">
        <v>30</v>
      </c>
      <c r="C26" s="13">
        <v>53350.49</v>
      </c>
      <c r="D26" s="13">
        <v>0.01</v>
      </c>
      <c r="E26">
        <f t="shared" si="0"/>
        <v>5590.5574063945105</v>
      </c>
      <c r="F26">
        <f t="shared" si="1"/>
        <v>5590.5</v>
      </c>
      <c r="O26">
        <f t="shared" ca="1" si="2"/>
        <v>-0.129748931607502</v>
      </c>
      <c r="Q26" s="2">
        <f t="shared" si="3"/>
        <v>38331.99</v>
      </c>
      <c r="U26" s="31">
        <v>0.28862499999377178</v>
      </c>
    </row>
    <row r="27" spans="1:21" x14ac:dyDescent="0.2">
      <c r="A27" s="13" t="s">
        <v>39</v>
      </c>
      <c r="B27" s="27"/>
      <c r="C27" s="10">
        <v>54149.441599999998</v>
      </c>
      <c r="D27" s="10">
        <v>1.1999999999999999E-3</v>
      </c>
      <c r="E27">
        <f t="shared" si="0"/>
        <v>5749.4657848938386</v>
      </c>
      <c r="F27">
        <f t="shared" si="1"/>
        <v>5749.5</v>
      </c>
      <c r="G27">
        <f>+C27-(C$7+F27*C$8)</f>
        <v>-0.17202499999984866</v>
      </c>
      <c r="K27">
        <f>+G27</f>
        <v>-0.17202499999984866</v>
      </c>
      <c r="O27">
        <f t="shared" ca="1" si="2"/>
        <v>-0.13382988346721714</v>
      </c>
      <c r="Q27" s="2">
        <f t="shared" si="3"/>
        <v>39130.941599999998</v>
      </c>
      <c r="R27">
        <f t="shared" ca="1" si="4"/>
        <v>1.458866926941302E-3</v>
      </c>
    </row>
    <row r="28" spans="1:21" x14ac:dyDescent="0.2">
      <c r="A28" s="34" t="s">
        <v>41</v>
      </c>
      <c r="B28" s="35" t="s">
        <v>30</v>
      </c>
      <c r="C28" s="36">
        <v>54516.452400000002</v>
      </c>
      <c r="D28" s="36">
        <v>1.2999999999999999E-3</v>
      </c>
      <c r="E28">
        <f t="shared" si="0"/>
        <v>5822.4628113967483</v>
      </c>
      <c r="F28">
        <f t="shared" si="1"/>
        <v>5822.5</v>
      </c>
      <c r="G28">
        <f>+C28-(C$7+F28*C$8)</f>
        <v>-0.18697499999689171</v>
      </c>
      <c r="J28">
        <f>+G28</f>
        <v>-0.18697499999689171</v>
      </c>
      <c r="O28">
        <f t="shared" ca="1" si="2"/>
        <v>-0.13570352803174043</v>
      </c>
      <c r="Q28" s="2">
        <f t="shared" si="3"/>
        <v>39497.952400000002</v>
      </c>
      <c r="R28">
        <f t="shared" ca="1" si="4"/>
        <v>2.6287638374732935E-3</v>
      </c>
    </row>
    <row r="29" spans="1:21" x14ac:dyDescent="0.2">
      <c r="B29" s="3"/>
      <c r="C29" s="10"/>
      <c r="D29" s="10"/>
      <c r="Q29" s="2"/>
    </row>
    <row r="30" spans="1:21" x14ac:dyDescent="0.2">
      <c r="B30" s="3"/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5"/>
  <sheetViews>
    <sheetView workbookViewId="0">
      <selection activeCell="A15" sqref="A15:D17"/>
    </sheetView>
  </sheetViews>
  <sheetFormatPr defaultRowHeight="12.75" x14ac:dyDescent="0.2"/>
  <cols>
    <col min="1" max="1" width="19.7109375" style="10" customWidth="1"/>
    <col min="2" max="2" width="4.42578125" style="16" customWidth="1"/>
    <col min="3" max="3" width="12.7109375" style="10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0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37" t="s">
        <v>42</v>
      </c>
      <c r="I1" s="38" t="s">
        <v>43</v>
      </c>
      <c r="J1" s="39" t="s">
        <v>44</v>
      </c>
    </row>
    <row r="2" spans="1:16" x14ac:dyDescent="0.2">
      <c r="I2" s="40" t="s">
        <v>45</v>
      </c>
      <c r="J2" s="41" t="s">
        <v>46</v>
      </c>
    </row>
    <row r="3" spans="1:16" x14ac:dyDescent="0.2">
      <c r="A3" s="42" t="s">
        <v>47</v>
      </c>
      <c r="I3" s="40" t="s">
        <v>48</v>
      </c>
      <c r="J3" s="41" t="s">
        <v>49</v>
      </c>
    </row>
    <row r="4" spans="1:16" x14ac:dyDescent="0.2">
      <c r="I4" s="40" t="s">
        <v>50</v>
      </c>
      <c r="J4" s="41" t="s">
        <v>49</v>
      </c>
    </row>
    <row r="5" spans="1:16" ht="13.5" thickBot="1" x14ac:dyDescent="0.25">
      <c r="I5" s="43" t="s">
        <v>51</v>
      </c>
      <c r="J5" s="44" t="s">
        <v>52</v>
      </c>
    </row>
    <row r="10" spans="1:16" ht="13.5" thickBot="1" x14ac:dyDescent="0.25"/>
    <row r="11" spans="1:16" ht="12.75" customHeight="1" thickBot="1" x14ac:dyDescent="0.25">
      <c r="A11" s="10" t="str">
        <f t="shared" ref="A11:A17" si="0">P11</f>
        <v> BBS 129 </v>
      </c>
      <c r="B11" s="3" t="str">
        <f t="shared" ref="B11:B17" si="1">IF(H11=INT(H11),"I","II")</f>
        <v>I</v>
      </c>
      <c r="C11" s="10">
        <f t="shared" ref="C11:C17" si="2">1*G11</f>
        <v>51560.362999999998</v>
      </c>
      <c r="D11" s="16" t="str">
        <f t="shared" ref="D11:D17" si="3">VLOOKUP(F11,I$1:J$5,2,FALSE)</f>
        <v>vis</v>
      </c>
      <c r="E11" s="45">
        <f>VLOOKUP(C11,'A (old)'!C$21:E$973,3,FALSE)</f>
        <v>5234.5080801551385</v>
      </c>
      <c r="F11" s="3" t="s">
        <v>51</v>
      </c>
      <c r="G11" s="16" t="str">
        <f t="shared" ref="G11:G17" si="4">MID(I11,3,LEN(I11)-3)</f>
        <v>51560.363</v>
      </c>
      <c r="H11" s="10">
        <f t="shared" ref="H11:H17" si="5">1*K11</f>
        <v>10541</v>
      </c>
      <c r="I11" s="46" t="s">
        <v>60</v>
      </c>
      <c r="J11" s="47" t="s">
        <v>61</v>
      </c>
      <c r="K11" s="46">
        <v>10541</v>
      </c>
      <c r="L11" s="46" t="s">
        <v>62</v>
      </c>
      <c r="M11" s="47" t="s">
        <v>56</v>
      </c>
      <c r="N11" s="47" t="s">
        <v>57</v>
      </c>
      <c r="O11" s="48" t="s">
        <v>58</v>
      </c>
      <c r="P11" s="48" t="s">
        <v>63</v>
      </c>
    </row>
    <row r="12" spans="1:16" ht="12.75" customHeight="1" thickBot="1" x14ac:dyDescent="0.25">
      <c r="A12" s="10" t="str">
        <f t="shared" si="0"/>
        <v>IBVS 5653 </v>
      </c>
      <c r="B12" s="3" t="str">
        <f t="shared" si="1"/>
        <v>I</v>
      </c>
      <c r="C12" s="10">
        <f t="shared" si="2"/>
        <v>53350.49</v>
      </c>
      <c r="D12" s="16" t="str">
        <f t="shared" si="3"/>
        <v>vis</v>
      </c>
      <c r="E12" s="45">
        <f>VLOOKUP(C12,'A (old)'!C$21:E$973,3,FALSE)</f>
        <v>5590.5574063945105</v>
      </c>
      <c r="F12" s="3" t="s">
        <v>51</v>
      </c>
      <c r="G12" s="16" t="str">
        <f t="shared" si="4"/>
        <v>53350.49</v>
      </c>
      <c r="H12" s="10">
        <f t="shared" si="5"/>
        <v>11258</v>
      </c>
      <c r="I12" s="46" t="s">
        <v>72</v>
      </c>
      <c r="J12" s="47" t="s">
        <v>73</v>
      </c>
      <c r="K12" s="46">
        <v>11258</v>
      </c>
      <c r="L12" s="46" t="s">
        <v>55</v>
      </c>
      <c r="M12" s="47" t="s">
        <v>56</v>
      </c>
      <c r="N12" s="47" t="s">
        <v>57</v>
      </c>
      <c r="O12" s="48" t="s">
        <v>74</v>
      </c>
      <c r="P12" s="49" t="s">
        <v>75</v>
      </c>
    </row>
    <row r="13" spans="1:16" ht="12.75" customHeight="1" thickBot="1" x14ac:dyDescent="0.25">
      <c r="A13" s="10" t="str">
        <f t="shared" si="0"/>
        <v>BAVM 186 </v>
      </c>
      <c r="B13" s="3" t="str">
        <f t="shared" si="1"/>
        <v>I</v>
      </c>
      <c r="C13" s="10">
        <f t="shared" si="2"/>
        <v>54149.441599999998</v>
      </c>
      <c r="D13" s="16" t="str">
        <f t="shared" si="3"/>
        <v>vis</v>
      </c>
      <c r="E13" s="45">
        <f>VLOOKUP(C13,'A (old)'!C$21:E$973,3,FALSE)</f>
        <v>5749.4657848938386</v>
      </c>
      <c r="F13" s="3" t="s">
        <v>51</v>
      </c>
      <c r="G13" s="16" t="str">
        <f t="shared" si="4"/>
        <v>54149.4416</v>
      </c>
      <c r="H13" s="10">
        <f t="shared" si="5"/>
        <v>11578</v>
      </c>
      <c r="I13" s="46" t="s">
        <v>76</v>
      </c>
      <c r="J13" s="47" t="s">
        <v>77</v>
      </c>
      <c r="K13" s="46">
        <v>11578</v>
      </c>
      <c r="L13" s="46" t="s">
        <v>78</v>
      </c>
      <c r="M13" s="47" t="s">
        <v>79</v>
      </c>
      <c r="N13" s="47" t="s">
        <v>80</v>
      </c>
      <c r="O13" s="48" t="s">
        <v>81</v>
      </c>
      <c r="P13" s="49" t="s">
        <v>82</v>
      </c>
    </row>
    <row r="14" spans="1:16" ht="12.75" customHeight="1" thickBot="1" x14ac:dyDescent="0.25">
      <c r="A14" s="10" t="str">
        <f t="shared" si="0"/>
        <v>BAVM 201 </v>
      </c>
      <c r="B14" s="3" t="str">
        <f t="shared" si="1"/>
        <v>I</v>
      </c>
      <c r="C14" s="10">
        <f t="shared" si="2"/>
        <v>54516.452400000002</v>
      </c>
      <c r="D14" s="16" t="str">
        <f t="shared" si="3"/>
        <v>vis</v>
      </c>
      <c r="E14" s="45">
        <f>VLOOKUP(C14,'A (old)'!C$21:E$973,3,FALSE)</f>
        <v>5822.4628113967483</v>
      </c>
      <c r="F14" s="3" t="s">
        <v>51</v>
      </c>
      <c r="G14" s="16" t="str">
        <f t="shared" si="4"/>
        <v>54516.4524</v>
      </c>
      <c r="H14" s="10">
        <f t="shared" si="5"/>
        <v>11725</v>
      </c>
      <c r="I14" s="46" t="s">
        <v>83</v>
      </c>
      <c r="J14" s="47" t="s">
        <v>84</v>
      </c>
      <c r="K14" s="46" t="s">
        <v>85</v>
      </c>
      <c r="L14" s="46" t="s">
        <v>86</v>
      </c>
      <c r="M14" s="47" t="s">
        <v>79</v>
      </c>
      <c r="N14" s="47" t="s">
        <v>80</v>
      </c>
      <c r="O14" s="48" t="s">
        <v>81</v>
      </c>
      <c r="P14" s="49" t="s">
        <v>87</v>
      </c>
    </row>
    <row r="15" spans="1:16" ht="12.75" customHeight="1" thickBot="1" x14ac:dyDescent="0.25">
      <c r="A15" s="10" t="str">
        <f t="shared" si="0"/>
        <v> BBS 125 </v>
      </c>
      <c r="B15" s="3" t="str">
        <f t="shared" si="1"/>
        <v>I</v>
      </c>
      <c r="C15" s="10">
        <f t="shared" si="2"/>
        <v>51957.34</v>
      </c>
      <c r="D15" s="16" t="str">
        <f t="shared" si="3"/>
        <v>vis</v>
      </c>
      <c r="E15" s="45">
        <f>VLOOKUP(C15,'A (old)'!C$21:E$973,3,FALSE)</f>
        <v>5313.4652677639097</v>
      </c>
      <c r="F15" s="3" t="s">
        <v>51</v>
      </c>
      <c r="G15" s="16" t="str">
        <f t="shared" si="4"/>
        <v>51957.34</v>
      </c>
      <c r="H15" s="10">
        <f t="shared" si="5"/>
        <v>10700</v>
      </c>
      <c r="I15" s="46" t="s">
        <v>64</v>
      </c>
      <c r="J15" s="47" t="s">
        <v>65</v>
      </c>
      <c r="K15" s="46">
        <v>10700</v>
      </c>
      <c r="L15" s="46" t="s">
        <v>66</v>
      </c>
      <c r="M15" s="47" t="s">
        <v>56</v>
      </c>
      <c r="N15" s="47" t="s">
        <v>57</v>
      </c>
      <c r="O15" s="48" t="s">
        <v>58</v>
      </c>
      <c r="P15" s="48" t="s">
        <v>67</v>
      </c>
    </row>
    <row r="16" spans="1:16" ht="12.75" customHeight="1" thickBot="1" x14ac:dyDescent="0.25">
      <c r="A16" s="10" t="str">
        <f t="shared" si="0"/>
        <v> BBS 124 </v>
      </c>
      <c r="B16" s="3" t="str">
        <f t="shared" si="1"/>
        <v>I</v>
      </c>
      <c r="C16" s="10">
        <f t="shared" si="2"/>
        <v>51967.326999999997</v>
      </c>
      <c r="D16" s="16" t="str">
        <f t="shared" si="3"/>
        <v>vis</v>
      </c>
      <c r="E16" s="45">
        <f>VLOOKUP(C16,'A (old)'!C$21:E$973,3,FALSE)</f>
        <v>5315.4516433792451</v>
      </c>
      <c r="F16" s="3" t="s">
        <v>51</v>
      </c>
      <c r="G16" s="16" t="str">
        <f t="shared" si="4"/>
        <v>51967.327</v>
      </c>
      <c r="H16" s="10">
        <f t="shared" si="5"/>
        <v>10704</v>
      </c>
      <c r="I16" s="46" t="s">
        <v>68</v>
      </c>
      <c r="J16" s="47" t="s">
        <v>69</v>
      </c>
      <c r="K16" s="46">
        <v>10704</v>
      </c>
      <c r="L16" s="46" t="s">
        <v>62</v>
      </c>
      <c r="M16" s="47" t="s">
        <v>56</v>
      </c>
      <c r="N16" s="47" t="s">
        <v>57</v>
      </c>
      <c r="O16" s="48" t="s">
        <v>70</v>
      </c>
      <c r="P16" s="48" t="s">
        <v>71</v>
      </c>
    </row>
    <row r="17" spans="1:16" ht="12.75" customHeight="1" thickBot="1" x14ac:dyDescent="0.25">
      <c r="A17" s="10" t="str">
        <f t="shared" si="0"/>
        <v> BBS 120 </v>
      </c>
      <c r="B17" s="3" t="str">
        <f t="shared" si="1"/>
        <v>I</v>
      </c>
      <c r="C17" s="10">
        <f t="shared" si="2"/>
        <v>51198.32</v>
      </c>
      <c r="D17" s="16" t="str">
        <f t="shared" si="3"/>
        <v>vis</v>
      </c>
      <c r="E17" s="45">
        <f>VLOOKUP(C17,'A (old)'!C$21:E$973,3,FALSE)</f>
        <v>5162.4991298294462</v>
      </c>
      <c r="F17" s="3" t="s">
        <v>51</v>
      </c>
      <c r="G17" s="16" t="str">
        <f t="shared" si="4"/>
        <v>51198.32</v>
      </c>
      <c r="H17" s="10">
        <f t="shared" si="5"/>
        <v>10396</v>
      </c>
      <c r="I17" s="46" t="s">
        <v>53</v>
      </c>
      <c r="J17" s="47" t="s">
        <v>54</v>
      </c>
      <c r="K17" s="46">
        <v>10396</v>
      </c>
      <c r="L17" s="46" t="s">
        <v>55</v>
      </c>
      <c r="M17" s="47" t="s">
        <v>56</v>
      </c>
      <c r="N17" s="47" t="s">
        <v>57</v>
      </c>
      <c r="O17" s="48" t="s">
        <v>58</v>
      </c>
      <c r="P17" s="48" t="s">
        <v>59</v>
      </c>
    </row>
    <row r="18" spans="1:16" x14ac:dyDescent="0.2">
      <c r="B18" s="3"/>
      <c r="F18" s="3"/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</sheetData>
  <phoneticPr fontId="8" type="noConversion"/>
  <hyperlinks>
    <hyperlink ref="P12" r:id="rId1" display="http://www.konkoly.hu/cgi-bin/IBVS?5653"/>
    <hyperlink ref="P13" r:id="rId2" display="http://www.bav-astro.de/sfs/BAVM_link.php?BAVMnr=186"/>
    <hyperlink ref="P14" r:id="rId3" display="http://www.bav-astro.de/sfs/BAVM_link.php?BAVMnr=20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2024-01-29T03:12:53Z</dcterms:modified>
</cp:coreProperties>
</file>