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B0B7216-72A5-46C5-95B8-33567DF8672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H11" i="2"/>
  <c r="G11" i="2"/>
  <c r="C11" i="2"/>
  <c r="E11" i="2"/>
  <c r="D11" i="2"/>
  <c r="B11" i="2"/>
  <c r="A11" i="2"/>
  <c r="C17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C7" i="1"/>
  <c r="C8" i="1"/>
  <c r="E21" i="1"/>
  <c r="F21" i="1"/>
  <c r="G21" i="1"/>
  <c r="H21" i="1"/>
  <c r="Q21" i="1"/>
  <c r="E22" i="1"/>
  <c r="F22" i="1"/>
  <c r="G22" i="1"/>
  <c r="I22" i="1"/>
  <c r="C11" i="1"/>
  <c r="C12" i="1"/>
  <c r="C16" i="1" l="1"/>
  <c r="D18" i="1" s="1"/>
  <c r="O25" i="1"/>
  <c r="O23" i="1"/>
  <c r="O24" i="1"/>
  <c r="O22" i="1"/>
  <c r="O21" i="1"/>
  <c r="C15" i="1"/>
  <c r="F18" i="1" s="1"/>
  <c r="C18" i="1" l="1"/>
  <c r="F19" i="1"/>
</calcChain>
</file>

<file path=xl/sharedStrings.xml><?xml version="1.0" encoding="utf-8"?>
<sst xmlns="http://schemas.openxmlformats.org/spreadsheetml/2006/main" count="76" uniqueCount="61">
  <si>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</si>
  <si>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</si>
  <si>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</si>
  <si>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</si>
  <si>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</si>
  <si>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</si>
  <si>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</si>
  <si>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</si>
  <si>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</si>
  <si>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</si>
  <si>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</si>
  <si>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</si>
  <si>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</si>
  <si>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</si>
  <si>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</si>
  <si>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</si>
  <si>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</si>
  <si>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</si>
  <si>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</si>
  <si>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</si>
  <si>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</si>
  <si>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</si>
  <si>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</si>
  <si>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</si>
  <si>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</si>
  <si>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</si>
  <si>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</si>
  <si>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</si>
  <si>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</si>
  <si>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Paschke A</t>
  </si>
  <si>
    <t>BBSAG Bull.108</t>
  </si>
  <si>
    <t>B</t>
  </si>
  <si>
    <t>BBSAG Bull.112</t>
  </si>
  <si>
    <t># of data points:</t>
  </si>
  <si>
    <t>TW CMi / gsc 0191-0273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</si>
  <si>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</si>
  <si>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</si>
  <si>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</si>
  <si>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</si>
  <si>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</si>
  <si>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</si>
  <si>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</si>
  <si>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</si>
  <si>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</si>
  <si>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</si>
  <si>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</si>
  <si>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2450103.506 </t>
  </si>
  <si>
    <t> 21.01.1996 00:08 </t>
  </si>
  <si>
    <t> -0.112 </t>
  </si>
  <si>
    <t>E </t>
  </si>
  <si>
    <t>?</t>
  </si>
  <si>
    <t> A.Paschke </t>
  </si>
  <si>
    <t> BBS 112 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</si>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</sst>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TW CMi - O-C Diagr.</a:t>
            </a:r>
          </a:p>
        </c:rich>
      </c:tx>
      <c:layout>
        <c:manualLayout>
          <c:xMode val="edge"/>
          <c:yMode val="edge"/>
          <c:x val="0.3409095247391596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22311</c:v>
                </c:pt>
                <c:pt idx="2">
                  <c:v>22978</c:v>
                </c:pt>
                <c:pt idx="3">
                  <c:v>22978</c:v>
                </c:pt>
                <c:pt idx="4">
                  <c:v>22978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72-4C5B-84EE-34ED1CB854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22311</c:v>
                </c:pt>
                <c:pt idx="2">
                  <c:v>22978</c:v>
                </c:pt>
                <c:pt idx="3">
                  <c:v>22978</c:v>
                </c:pt>
                <c:pt idx="4">
                  <c:v>22978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-0.15285999999468913</c:v>
                </c:pt>
                <c:pt idx="2">
                  <c:v>-9.9280000002181623E-2</c:v>
                </c:pt>
                <c:pt idx="3">
                  <c:v>-9.9280000002181623E-2</c:v>
                </c:pt>
                <c:pt idx="4">
                  <c:v>-9.9280000002181623E-2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72-4C5B-84EE-34ED1CB854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22311</c:v>
                </c:pt>
                <c:pt idx="2">
                  <c:v>22978</c:v>
                </c:pt>
                <c:pt idx="3">
                  <c:v>22978</c:v>
                </c:pt>
                <c:pt idx="4">
                  <c:v>22978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72-4C5B-84EE-34ED1CB854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22311</c:v>
                </c:pt>
                <c:pt idx="2">
                  <c:v>22978</c:v>
                </c:pt>
                <c:pt idx="3">
                  <c:v>22978</c:v>
                </c:pt>
                <c:pt idx="4">
                  <c:v>22978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72-4C5B-84EE-34ED1CB854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22311</c:v>
                </c:pt>
                <c:pt idx="2">
                  <c:v>22978</c:v>
                </c:pt>
                <c:pt idx="3">
                  <c:v>22978</c:v>
                </c:pt>
                <c:pt idx="4">
                  <c:v>22978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72-4C5B-84EE-34ED1CB854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22311</c:v>
                </c:pt>
                <c:pt idx="2">
                  <c:v>22978</c:v>
                </c:pt>
                <c:pt idx="3">
                  <c:v>22978</c:v>
                </c:pt>
                <c:pt idx="4">
                  <c:v>22978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72-4C5B-84EE-34ED1CB854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22311</c:v>
                </c:pt>
                <c:pt idx="2">
                  <c:v>22978</c:v>
                </c:pt>
                <c:pt idx="3">
                  <c:v>22978</c:v>
                </c:pt>
                <c:pt idx="4">
                  <c:v>22978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72-4C5B-84EE-34ED1CB854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22311</c:v>
                </c:pt>
                <c:pt idx="2">
                  <c:v>22978</c:v>
                </c:pt>
                <c:pt idx="3">
                  <c:v>22978</c:v>
                </c:pt>
                <c:pt idx="4">
                  <c:v>22978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-1.2462595453849173E-3</c:v>
                </c:pt>
                <c:pt idx="1">
                  <c:v>-0.10992663892444259</c:v>
                </c:pt>
                <c:pt idx="2">
                  <c:v>-0.11317570051046884</c:v>
                </c:pt>
                <c:pt idx="3">
                  <c:v>-0.11317570051046884</c:v>
                </c:pt>
                <c:pt idx="4">
                  <c:v>-0.11317570051046884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72-4C5B-84EE-34ED1CB85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149488"/>
        <c:axId val="1"/>
      </c:scatterChart>
      <c:valAx>
        <c:axId val="790149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14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9671590637947"/>
          <c:y val="0.91874999999999996"/>
          <c:w val="0.8636372312965011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18</xdr:col>
      <xdr:colOff>409574</xdr:colOff>
      <xdr:row>18</xdr:row>
      <xdr:rowOff>104774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A11BB2-9042-19F5-72FE-ADA65E1E6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34</v>
      </c>
    </row>
    <row r="2" spans="1:6">
      <c r="A2" t="s">
        <v>25</v>
      </c>
    </row>
    <row r="4" spans="1:6">
      <c r="A4" s="8" t="s">
        <v>0</v>
      </c>
      <c r="C4" s="3">
        <v>25304.368999999999</v>
      </c>
      <c r="D4" s="4">
        <v>1.0792600000000001</v>
      </c>
    </row>
    <row r="5" spans="1:6">
      <c r="A5" s="29" t="s">
        <v>53</v>
      </c>
      <c r="B5" s="17"/>
      <c r="C5" s="30">
        <v>-9.5</v>
      </c>
      <c r="D5" s="17" t="s">
        <v>54</v>
      </c>
    </row>
    <row r="6" spans="1:6">
      <c r="A6" s="8" t="s">
        <v>1</v>
      </c>
    </row>
    <row r="7" spans="1:6">
      <c r="A7" t="s">
        <v>2</v>
      </c>
      <c r="C7">
        <f>+C4</f>
        <v>25304.368999999999</v>
      </c>
    </row>
    <row r="8" spans="1:6">
      <c r="A8" t="s">
        <v>3</v>
      </c>
      <c r="C8">
        <f>+D4</f>
        <v>1.0792600000000001</v>
      </c>
    </row>
    <row r="9" spans="1:6">
      <c r="A9" s="31" t="s">
        <v>55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35">
        <f ca="1">INTERCEPT(INDIRECT($D$9):G978,INDIRECT($C$9):F978)</f>
        <v>-1.2462595453849173E-3</v>
      </c>
      <c r="D11" s="6"/>
    </row>
    <row r="12" spans="1:6">
      <c r="A12" t="s">
        <v>17</v>
      </c>
      <c r="C12" s="35">
        <f ca="1">SLOPE(INDIRECT($D$9):G978,INDIRECT($C$9):F978)</f>
        <v>-4.8711568006390424E-6</v>
      </c>
      <c r="D12" s="6"/>
    </row>
    <row r="13" spans="1:6">
      <c r="A13" t="s">
        <v>19</v>
      </c>
      <c r="C13" s="6" t="s">
        <v>14</v>
      </c>
      <c r="D13" s="6"/>
    </row>
    <row r="14" spans="1:6">
      <c r="A14" t="s">
        <v>24</v>
      </c>
    </row>
    <row r="15" spans="1:6">
      <c r="A15" s="5" t="s">
        <v>18</v>
      </c>
      <c r="C15" s="11">
        <f ca="1">(C7+C11)+(C8+C12)*INT(MAX(F21:F3533))</f>
        <v>50103.492104299497</v>
      </c>
      <c r="E15" s="36" t="s">
        <v>56</v>
      </c>
      <c r="F15" s="30">
        <v>1</v>
      </c>
    </row>
    <row r="16" spans="1:6">
      <c r="A16" s="8" t="s">
        <v>4</v>
      </c>
      <c r="C16" s="12">
        <f ca="1">+C8+C12</f>
        <v>1.0792551288431995</v>
      </c>
      <c r="E16" s="36" t="s">
        <v>57</v>
      </c>
      <c r="F16" s="37">
        <f ca="1">NOW()+15018.5+$C$5/24</f>
        <v>60338.682401157406</v>
      </c>
    </row>
    <row r="17" spans="1:31" ht="13.5" thickBot="1">
      <c r="A17" s="13" t="s">
        <v>33</v>
      </c>
      <c r="C17">
        <f>COUNT(C21:C2191)</f>
        <v>5</v>
      </c>
      <c r="E17" s="36" t="s">
        <v>58</v>
      </c>
      <c r="F17" s="37">
        <f ca="1">ROUND(2*(F16-$C$7)/$C$8,0)/2+F15</f>
        <v>32462.5</v>
      </c>
    </row>
    <row r="18" spans="1:31">
      <c r="A18" s="8" t="s">
        <v>5</v>
      </c>
      <c r="C18" s="3">
        <f ca="1">+C15</f>
        <v>50103.492104299497</v>
      </c>
      <c r="D18" s="4">
        <f ca="1">+C16</f>
        <v>1.0792551288431995</v>
      </c>
      <c r="E18" s="36" t="s">
        <v>59</v>
      </c>
      <c r="F18" s="34">
        <f ca="1">ROUND(2*(F16-$C$15)/$C$16,0)/2+F15</f>
        <v>9484.5</v>
      </c>
    </row>
    <row r="19" spans="1:31" ht="13.5" thickTop="1">
      <c r="E19" s="36" t="s">
        <v>60</v>
      </c>
      <c r="F19" s="38">
        <f ca="1">+$C$15+$C$16*F18-15018.5-$C$5/24</f>
        <v>45321.583207146155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42</v>
      </c>
      <c r="I20" s="10" t="s">
        <v>45</v>
      </c>
      <c r="J20" s="10" t="s">
        <v>39</v>
      </c>
      <c r="K20" s="10" t="s">
        <v>37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31">
      <c r="A21" t="s">
        <v>12</v>
      </c>
      <c r="C21" s="14">
        <v>25304.368999999999</v>
      </c>
      <c r="D21" s="14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+C$11+C$12*F21</f>
        <v>-1.2462595453849173E-3</v>
      </c>
      <c r="Q21" s="2">
        <f>+C21-15018.5</f>
        <v>10285.868999999999</v>
      </c>
    </row>
    <row r="22" spans="1:31">
      <c r="A22" t="s">
        <v>30</v>
      </c>
      <c r="C22" s="15">
        <v>49383.586000000003</v>
      </c>
      <c r="D22" s="14"/>
      <c r="E22">
        <f>+(C22-C$7)/C$8</f>
        <v>22310.858365917389</v>
      </c>
      <c r="F22">
        <f>ROUND(2*E22,0)/2</f>
        <v>22311</v>
      </c>
      <c r="G22">
        <f>+C22-(C$7+F22*C$8)</f>
        <v>-0.15285999999468913</v>
      </c>
      <c r="I22">
        <f>+G22</f>
        <v>-0.15285999999468913</v>
      </c>
      <c r="O22">
        <f ca="1">+C$11+C$12*F22</f>
        <v>-0.10992663892444259</v>
      </c>
      <c r="Q22" s="2">
        <f>+C22-15018.5</f>
        <v>34365.086000000003</v>
      </c>
      <c r="AA22">
        <v>1</v>
      </c>
      <c r="AC22" t="s">
        <v>29</v>
      </c>
      <c r="AE22" t="s">
        <v>31</v>
      </c>
    </row>
    <row r="23" spans="1:31">
      <c r="A23" t="s">
        <v>32</v>
      </c>
      <c r="C23" s="15">
        <v>50103.506000000001</v>
      </c>
      <c r="D23" s="14">
        <v>0.01</v>
      </c>
      <c r="E23">
        <f>+(C23-C$7)/C$8</f>
        <v>22977.908011044605</v>
      </c>
      <c r="F23">
        <f>ROUND(2*E23,0)/2</f>
        <v>22978</v>
      </c>
      <c r="G23">
        <f>+C23-(C$7+F23*C$8)</f>
        <v>-9.9280000002181623E-2</v>
      </c>
      <c r="I23">
        <f>+G23</f>
        <v>-9.9280000002181623E-2</v>
      </c>
      <c r="O23">
        <f ca="1">+C$11+C$12*F23</f>
        <v>-0.11317570051046884</v>
      </c>
      <c r="Q23" s="2">
        <f>+C23-15018.5</f>
        <v>35085.006000000001</v>
      </c>
      <c r="AA23">
        <v>50</v>
      </c>
      <c r="AC23" t="s">
        <v>29</v>
      </c>
      <c r="AE23" t="s">
        <v>31</v>
      </c>
    </row>
    <row r="24" spans="1:31">
      <c r="A24" t="s">
        <v>32</v>
      </c>
      <c r="C24" s="15">
        <v>50103.506000000001</v>
      </c>
      <c r="D24" s="14"/>
      <c r="E24">
        <f>+(C24-C$7)/C$8</f>
        <v>22977.908011044605</v>
      </c>
      <c r="F24">
        <f>ROUND(2*E24,0)/2</f>
        <v>22978</v>
      </c>
      <c r="G24">
        <f>+C24-(C$7+F24*C$8)</f>
        <v>-9.9280000002181623E-2</v>
      </c>
      <c r="I24">
        <f>+G24</f>
        <v>-9.9280000002181623E-2</v>
      </c>
      <c r="O24">
        <f ca="1">+C$11+C$12*F24</f>
        <v>-0.11317570051046884</v>
      </c>
      <c r="Q24" s="2">
        <f>+C24-15018.5</f>
        <v>35085.006000000001</v>
      </c>
      <c r="AA24">
        <v>50</v>
      </c>
      <c r="AC24" t="s">
        <v>29</v>
      </c>
      <c r="AE24" t="s">
        <v>31</v>
      </c>
    </row>
    <row r="25" spans="1:31">
      <c r="A25" t="s">
        <v>32</v>
      </c>
      <c r="C25" s="15">
        <v>50103.506000000001</v>
      </c>
      <c r="D25" s="14">
        <v>0.01</v>
      </c>
      <c r="E25">
        <f>+(C25-C$7)/C$8</f>
        <v>22977.908011044605</v>
      </c>
      <c r="F25">
        <f>ROUND(2*E25,0)/2</f>
        <v>22978</v>
      </c>
      <c r="G25">
        <f>+C25-(C$7+F25*C$8)</f>
        <v>-9.9280000002181623E-2</v>
      </c>
      <c r="I25">
        <f>+G25</f>
        <v>-9.9280000002181623E-2</v>
      </c>
      <c r="O25">
        <f ca="1">+C$11+C$12*F25</f>
        <v>-0.11317570051046884</v>
      </c>
      <c r="Q25" s="2">
        <f>+C25-15018.5</f>
        <v>35085.006000000001</v>
      </c>
      <c r="AA25">
        <v>50</v>
      </c>
      <c r="AC25" t="s">
        <v>29</v>
      </c>
      <c r="AE25" t="s">
        <v>31</v>
      </c>
    </row>
    <row r="26" spans="1:31">
      <c r="C26" s="14"/>
      <c r="D26" s="14"/>
      <c r="Q26" s="2"/>
    </row>
    <row r="27" spans="1:31">
      <c r="C27" s="14"/>
      <c r="D27" s="14"/>
      <c r="Q27" s="2"/>
    </row>
    <row r="28" spans="1:31">
      <c r="C28" s="14"/>
      <c r="D28" s="14"/>
    </row>
    <row r="29" spans="1:31">
      <c r="C29" s="14"/>
      <c r="D29" s="14"/>
    </row>
    <row r="30" spans="1:31">
      <c r="C30" s="14"/>
      <c r="D30" s="14"/>
    </row>
    <row r="31" spans="1:31">
      <c r="C31" s="14"/>
      <c r="D31" s="14"/>
    </row>
    <row r="32" spans="1:31">
      <c r="C32" s="14"/>
      <c r="D32" s="14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  <row r="36" spans="3:4">
      <c r="C36" s="14"/>
      <c r="D36" s="14"/>
    </row>
    <row r="37" spans="3:4">
      <c r="C37" s="14"/>
      <c r="D37" s="14"/>
    </row>
    <row r="38" spans="3:4">
      <c r="C38" s="14"/>
      <c r="D38" s="14"/>
    </row>
    <row r="39" spans="3:4">
      <c r="C39" s="14"/>
      <c r="D39" s="14"/>
    </row>
    <row r="40" spans="3:4">
      <c r="C40" s="14"/>
      <c r="D40" s="14"/>
    </row>
    <row r="41" spans="3:4">
      <c r="C41" s="14"/>
      <c r="D41" s="14"/>
    </row>
    <row r="42" spans="3:4">
      <c r="C42" s="14"/>
      <c r="D42" s="14"/>
    </row>
    <row r="43" spans="3:4">
      <c r="C43" s="14"/>
      <c r="D43" s="14"/>
    </row>
    <row r="44" spans="3:4">
      <c r="C44" s="14"/>
      <c r="D44" s="14"/>
    </row>
    <row r="45" spans="3:4">
      <c r="C45" s="14"/>
      <c r="D45" s="14"/>
    </row>
    <row r="46" spans="3:4">
      <c r="C46" s="14"/>
      <c r="D46" s="14"/>
    </row>
    <row r="47" spans="3:4">
      <c r="C47" s="14"/>
      <c r="D47" s="14"/>
    </row>
    <row r="48" spans="3:4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9"/>
  <sheetViews>
    <sheetView workbookViewId="0">
      <selection activeCell="E11" sqref="E11"/>
    </sheetView>
  </sheetViews>
  <sheetFormatPr defaultRowHeight="12.75"/>
  <cols>
    <col min="1" max="1" width="19.7109375" style="14" customWidth="1"/>
    <col min="2" max="2" width="4.42578125" style="17" customWidth="1"/>
    <col min="3" max="3" width="12.7109375" style="14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4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16" t="s">
        <v>35</v>
      </c>
      <c r="I1" s="18" t="s">
        <v>36</v>
      </c>
      <c r="J1" s="19" t="s">
        <v>37</v>
      </c>
    </row>
    <row r="2" spans="1:16">
      <c r="I2" s="20" t="s">
        <v>38</v>
      </c>
      <c r="J2" s="21" t="s">
        <v>39</v>
      </c>
    </row>
    <row r="3" spans="1:16">
      <c r="A3" s="22" t="s">
        <v>40</v>
      </c>
      <c r="I3" s="20" t="s">
        <v>41</v>
      </c>
      <c r="J3" s="21" t="s">
        <v>42</v>
      </c>
    </row>
    <row r="4" spans="1:16">
      <c r="I4" s="20" t="s">
        <v>43</v>
      </c>
      <c r="J4" s="21" t="s">
        <v>42</v>
      </c>
    </row>
    <row r="5" spans="1:16" ht="13.5" thickBot="1">
      <c r="I5" s="23" t="s">
        <v>44</v>
      </c>
      <c r="J5" s="24" t="s">
        <v>45</v>
      </c>
    </row>
    <row r="10" spans="1:16" ht="13.5" thickBot="1"/>
    <row r="11" spans="1:16" ht="12.75" customHeight="1" thickBot="1">
      <c r="A11" s="14" t="str">
        <f>P11</f>
        <v> BBS 112 </v>
      </c>
      <c r="B11" s="6" t="str">
        <f>IF(H11=INT(H11),"I","II")</f>
        <v>II</v>
      </c>
      <c r="C11" s="14">
        <f>1*G11</f>
        <v>50103.506000000001</v>
      </c>
      <c r="D11" s="17" t="str">
        <f>VLOOKUP(F11,I$1:J$5,2,FALSE)</f>
        <v>vis</v>
      </c>
      <c r="E11" s="25">
        <f>VLOOKUP(C11,Active!C$21:E$973,3,FALSE)</f>
        <v>22977.908011044605</v>
      </c>
      <c r="F11" s="6" t="s">
        <v>44</v>
      </c>
      <c r="G11" s="17" t="str">
        <f>MID(I11,3,LEN(I11)-3)</f>
        <v>50103.506</v>
      </c>
      <c r="H11" s="14">
        <f>1*K11</f>
        <v>-1370.5</v>
      </c>
      <c r="I11" s="26" t="s">
        <v>46</v>
      </c>
      <c r="J11" s="27" t="s">
        <v>47</v>
      </c>
      <c r="K11" s="26">
        <v>-1370.5</v>
      </c>
      <c r="L11" s="26" t="s">
        <v>48</v>
      </c>
      <c r="M11" s="27" t="s">
        <v>49</v>
      </c>
      <c r="N11" s="27" t="s">
        <v>50</v>
      </c>
      <c r="O11" s="28" t="s">
        <v>51</v>
      </c>
      <c r="P11" s="28" t="s">
        <v>52</v>
      </c>
    </row>
    <row r="12" spans="1:16">
      <c r="B12" s="6"/>
      <c r="F12" s="6"/>
    </row>
    <row r="13" spans="1:16">
      <c r="B13" s="6"/>
      <c r="F13" s="6"/>
    </row>
    <row r="14" spans="1:16">
      <c r="B14" s="6"/>
      <c r="F14" s="6"/>
    </row>
    <row r="15" spans="1:16">
      <c r="B15" s="6"/>
      <c r="F15" s="6"/>
    </row>
    <row r="16" spans="1:16">
      <c r="B16" s="6"/>
      <c r="F16" s="6"/>
    </row>
    <row r="17" spans="2:6">
      <c r="B17" s="6"/>
      <c r="F17" s="6"/>
    </row>
    <row r="18" spans="2:6">
      <c r="B18" s="6"/>
      <c r="F18" s="6"/>
    </row>
    <row r="19" spans="2:6">
      <c r="B19" s="6"/>
      <c r="F19" s="6"/>
    </row>
    <row r="20" spans="2:6">
      <c r="B20" s="6"/>
      <c r="F20" s="6"/>
    </row>
    <row r="21" spans="2:6">
      <c r="B21" s="6"/>
      <c r="F21" s="6"/>
    </row>
    <row r="22" spans="2:6">
      <c r="B22" s="6"/>
      <c r="F22" s="6"/>
    </row>
    <row r="23" spans="2:6">
      <c r="B23" s="6"/>
      <c r="F23" s="6"/>
    </row>
    <row r="24" spans="2:6">
      <c r="B24" s="6"/>
      <c r="F24" s="6"/>
    </row>
    <row r="25" spans="2:6">
      <c r="B25" s="6"/>
      <c r="F25" s="6"/>
    </row>
    <row r="26" spans="2:6">
      <c r="B26" s="6"/>
      <c r="F26" s="6"/>
    </row>
    <row r="27" spans="2:6">
      <c r="B27" s="6"/>
      <c r="F27" s="6"/>
    </row>
    <row r="28" spans="2:6">
      <c r="B28" s="6"/>
      <c r="F28" s="6"/>
    </row>
    <row r="29" spans="2:6">
      <c r="B29" s="6"/>
      <c r="F29" s="6"/>
    </row>
    <row r="30" spans="2:6">
      <c r="B30" s="6"/>
      <c r="F30" s="6"/>
    </row>
    <row r="31" spans="2:6">
      <c r="B31" s="6"/>
      <c r="F31" s="6"/>
    </row>
    <row r="32" spans="2: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2024-01-29T03:22:39Z</dcterms:modified>
</cp:coreProperties>
</file>