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DB65B8B-3F79-469F-AEA1-077F86E5DE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/>
  <c r="E79" i="1"/>
  <c r="F79" i="1"/>
  <c r="Q86" i="1"/>
  <c r="Q87" i="1"/>
  <c r="C7" i="1"/>
  <c r="E86" i="1"/>
  <c r="F86" i="1"/>
  <c r="D9" i="1"/>
  <c r="C9" i="1"/>
  <c r="E38" i="1"/>
  <c r="F38" i="1"/>
  <c r="E45" i="1"/>
  <c r="F45" i="1"/>
  <c r="G45" i="1"/>
  <c r="K45" i="1"/>
  <c r="E22" i="1"/>
  <c r="F22" i="1"/>
  <c r="G22" i="1"/>
  <c r="I22" i="1"/>
  <c r="E41" i="1"/>
  <c r="F41" i="1"/>
  <c r="G41" i="1"/>
  <c r="K41" i="1"/>
  <c r="E35" i="1"/>
  <c r="F35" i="1"/>
  <c r="G35" i="1"/>
  <c r="K35" i="1"/>
  <c r="E36" i="1"/>
  <c r="F36" i="1"/>
  <c r="G36" i="1"/>
  <c r="K36" i="1"/>
  <c r="E59" i="1"/>
  <c r="F59" i="1"/>
  <c r="G59" i="1"/>
  <c r="I59" i="1"/>
  <c r="E65" i="1"/>
  <c r="F65" i="1"/>
  <c r="G65" i="1"/>
  <c r="K65" i="1"/>
  <c r="E66" i="1"/>
  <c r="F66" i="1"/>
  <c r="G66" i="1"/>
  <c r="E67" i="1"/>
  <c r="F67" i="1"/>
  <c r="G67" i="1"/>
  <c r="K67" i="1"/>
  <c r="E68" i="1"/>
  <c r="F68" i="1"/>
  <c r="G68" i="1"/>
  <c r="K68" i="1"/>
  <c r="E69" i="1"/>
  <c r="F69" i="1"/>
  <c r="G69" i="1"/>
  <c r="J69" i="1"/>
  <c r="E70" i="1"/>
  <c r="F70" i="1"/>
  <c r="G70" i="1"/>
  <c r="J70" i="1"/>
  <c r="Q60" i="1"/>
  <c r="Q85" i="1"/>
  <c r="G63" i="2"/>
  <c r="C63" i="2"/>
  <c r="G61" i="2"/>
  <c r="C61" i="2"/>
  <c r="G60" i="2"/>
  <c r="C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E64" i="1"/>
  <c r="G40" i="2"/>
  <c r="C40" i="2"/>
  <c r="E40" i="2"/>
  <c r="E63" i="1"/>
  <c r="G39" i="2"/>
  <c r="C39" i="2"/>
  <c r="E39" i="2"/>
  <c r="E61" i="1"/>
  <c r="G62" i="2"/>
  <c r="C62" i="2"/>
  <c r="G38" i="2"/>
  <c r="C38" i="2"/>
  <c r="E38" i="2"/>
  <c r="G37" i="2"/>
  <c r="C37" i="2"/>
  <c r="E37" i="2"/>
  <c r="E57" i="1"/>
  <c r="G36" i="2"/>
  <c r="C36" i="2"/>
  <c r="E36" i="2"/>
  <c r="E53" i="1"/>
  <c r="G35" i="2"/>
  <c r="C35" i="2"/>
  <c r="E35" i="2"/>
  <c r="E52" i="1"/>
  <c r="G34" i="2"/>
  <c r="C34" i="2"/>
  <c r="E34" i="2"/>
  <c r="E49" i="1"/>
  <c r="G33" i="2"/>
  <c r="C33" i="2"/>
  <c r="E33" i="2"/>
  <c r="E48" i="1"/>
  <c r="G32" i="2"/>
  <c r="C32" i="2"/>
  <c r="E32" i="2"/>
  <c r="E47" i="1"/>
  <c r="G31" i="2"/>
  <c r="C31" i="2"/>
  <c r="E31" i="2"/>
  <c r="G30" i="2"/>
  <c r="C30" i="2"/>
  <c r="E30" i="2"/>
  <c r="E44" i="1"/>
  <c r="G29" i="2"/>
  <c r="C29" i="2"/>
  <c r="G28" i="2"/>
  <c r="C28" i="2"/>
  <c r="E28" i="2"/>
  <c r="E42" i="1"/>
  <c r="G27" i="2"/>
  <c r="C27" i="2"/>
  <c r="E27" i="2"/>
  <c r="G26" i="2"/>
  <c r="C26" i="2"/>
  <c r="E26" i="2"/>
  <c r="E40" i="1"/>
  <c r="G25" i="2"/>
  <c r="C25" i="2"/>
  <c r="E25" i="2"/>
  <c r="E39" i="1"/>
  <c r="G24" i="2"/>
  <c r="C24" i="2"/>
  <c r="E24" i="2"/>
  <c r="G23" i="2"/>
  <c r="C23" i="2"/>
  <c r="E23" i="2"/>
  <c r="E37" i="1"/>
  <c r="G22" i="2"/>
  <c r="C22" i="2"/>
  <c r="E22" i="2"/>
  <c r="E34" i="1"/>
  <c r="G21" i="2"/>
  <c r="C21" i="2"/>
  <c r="E21" i="2"/>
  <c r="E33" i="1"/>
  <c r="G20" i="2"/>
  <c r="C20" i="2"/>
  <c r="E20" i="2"/>
  <c r="E32" i="1"/>
  <c r="G19" i="2"/>
  <c r="C19" i="2"/>
  <c r="E19" i="2"/>
  <c r="E31" i="1"/>
  <c r="G18" i="2"/>
  <c r="C18" i="2"/>
  <c r="E18" i="2"/>
  <c r="E30" i="1"/>
  <c r="G17" i="2"/>
  <c r="C17" i="2"/>
  <c r="E17" i="2"/>
  <c r="E29" i="1"/>
  <c r="G16" i="2"/>
  <c r="C16" i="2"/>
  <c r="E16" i="2"/>
  <c r="E28" i="1"/>
  <c r="G15" i="2"/>
  <c r="C15" i="2"/>
  <c r="E15" i="2"/>
  <c r="E27" i="1"/>
  <c r="G14" i="2"/>
  <c r="C14" i="2"/>
  <c r="E14" i="2"/>
  <c r="E26" i="1"/>
  <c r="G13" i="2"/>
  <c r="C13" i="2"/>
  <c r="E13" i="2"/>
  <c r="E25" i="1"/>
  <c r="G12" i="2"/>
  <c r="C12" i="2"/>
  <c r="E12" i="2"/>
  <c r="E24" i="1"/>
  <c r="G11" i="2"/>
  <c r="C11" i="2"/>
  <c r="E11" i="2"/>
  <c r="E23" i="1"/>
  <c r="H63" i="2"/>
  <c r="B63" i="2"/>
  <c r="D63" i="2"/>
  <c r="A63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62" i="2"/>
  <c r="B62" i="2"/>
  <c r="D62" i="2"/>
  <c r="A62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83" i="1"/>
  <c r="Q84" i="1"/>
  <c r="F53" i="1"/>
  <c r="G53" i="1"/>
  <c r="E54" i="1"/>
  <c r="F54" i="1"/>
  <c r="G54" i="1"/>
  <c r="K54" i="1"/>
  <c r="E55" i="1"/>
  <c r="F55" i="1"/>
  <c r="G55" i="1"/>
  <c r="K55" i="1"/>
  <c r="E56" i="1"/>
  <c r="F56" i="1"/>
  <c r="G56" i="1"/>
  <c r="K56" i="1"/>
  <c r="F57" i="1"/>
  <c r="G57" i="1"/>
  <c r="E58" i="1"/>
  <c r="F58" i="1"/>
  <c r="G58" i="1"/>
  <c r="K58" i="1"/>
  <c r="F61" i="1"/>
  <c r="G61" i="1"/>
  <c r="E62" i="1"/>
  <c r="F62" i="1"/>
  <c r="G62" i="1"/>
  <c r="K62" i="1"/>
  <c r="F63" i="1"/>
  <c r="G63" i="1"/>
  <c r="K63" i="1"/>
  <c r="F64" i="1"/>
  <c r="G64" i="1"/>
  <c r="Q75" i="1"/>
  <c r="Q82" i="1"/>
  <c r="Q81" i="1"/>
  <c r="E21" i="1"/>
  <c r="F21" i="1"/>
  <c r="G21" i="1"/>
  <c r="H21" i="1"/>
  <c r="F23" i="1"/>
  <c r="G23" i="1"/>
  <c r="F24" i="1"/>
  <c r="G24" i="1"/>
  <c r="F25" i="1"/>
  <c r="G25" i="1"/>
  <c r="I25" i="1"/>
  <c r="F26" i="1"/>
  <c r="G26" i="1"/>
  <c r="F27" i="1"/>
  <c r="G27" i="1"/>
  <c r="F28" i="1"/>
  <c r="G28" i="1"/>
  <c r="F29" i="1"/>
  <c r="G29" i="1"/>
  <c r="I29" i="1"/>
  <c r="F30" i="1"/>
  <c r="G30" i="1"/>
  <c r="F31" i="1"/>
  <c r="G31" i="1"/>
  <c r="F32" i="1"/>
  <c r="G32" i="1"/>
  <c r="F33" i="1"/>
  <c r="G33" i="1"/>
  <c r="I33" i="1"/>
  <c r="F34" i="1"/>
  <c r="G34" i="1"/>
  <c r="F37" i="1"/>
  <c r="G37" i="1"/>
  <c r="F39" i="1"/>
  <c r="G39" i="1"/>
  <c r="K39" i="1"/>
  <c r="F40" i="1"/>
  <c r="G40" i="1"/>
  <c r="I40" i="1"/>
  <c r="F42" i="1"/>
  <c r="G42" i="1"/>
  <c r="F44" i="1"/>
  <c r="G44" i="1"/>
  <c r="K44" i="1"/>
  <c r="E46" i="1"/>
  <c r="F46" i="1"/>
  <c r="G46" i="1"/>
  <c r="K46" i="1"/>
  <c r="F47" i="1"/>
  <c r="G47" i="1"/>
  <c r="K47" i="1"/>
  <c r="F48" i="1"/>
  <c r="G48" i="1"/>
  <c r="K48" i="1"/>
  <c r="F49" i="1"/>
  <c r="G49" i="1"/>
  <c r="K49" i="1"/>
  <c r="E50" i="1"/>
  <c r="F50" i="1"/>
  <c r="G50" i="1"/>
  <c r="K50" i="1"/>
  <c r="E51" i="1"/>
  <c r="F51" i="1"/>
  <c r="G51" i="1"/>
  <c r="K51" i="1"/>
  <c r="F52" i="1"/>
  <c r="G52" i="1"/>
  <c r="K52" i="1"/>
  <c r="Q80" i="1"/>
  <c r="Q77" i="1"/>
  <c r="Q78" i="1"/>
  <c r="Q79" i="1"/>
  <c r="Q76" i="1"/>
  <c r="F16" i="1"/>
  <c r="F17" i="1" s="1"/>
  <c r="C17" i="1"/>
  <c r="Q74" i="1"/>
  <c r="Q38" i="1"/>
  <c r="Q43" i="1"/>
  <c r="Q45" i="1"/>
  <c r="K66" i="1"/>
  <c r="Q66" i="1"/>
  <c r="Q67" i="1"/>
  <c r="Q68" i="1"/>
  <c r="Q71" i="1"/>
  <c r="Q72" i="1"/>
  <c r="Q73" i="1"/>
  <c r="Q69" i="1"/>
  <c r="Q70" i="1"/>
  <c r="Q40" i="1"/>
  <c r="Q41" i="1"/>
  <c r="Q59" i="1"/>
  <c r="Q35" i="1"/>
  <c r="Q36" i="1"/>
  <c r="I34" i="1"/>
  <c r="Q34" i="1"/>
  <c r="K64" i="1"/>
  <c r="Q64" i="1"/>
  <c r="Q65" i="1"/>
  <c r="Q63" i="1"/>
  <c r="K37" i="1"/>
  <c r="Q37" i="1"/>
  <c r="K42" i="1"/>
  <c r="Q42" i="1"/>
  <c r="Q44" i="1"/>
  <c r="Q39" i="1"/>
  <c r="Q47" i="1"/>
  <c r="Q46" i="1"/>
  <c r="Q48" i="1"/>
  <c r="Q49" i="1"/>
  <c r="Q50" i="1"/>
  <c r="Q52" i="1"/>
  <c r="Q51" i="1"/>
  <c r="Q56" i="1"/>
  <c r="K57" i="1"/>
  <c r="Q57" i="1"/>
  <c r="Q58" i="1"/>
  <c r="Q55" i="1"/>
  <c r="K53" i="1"/>
  <c r="Q53" i="1"/>
  <c r="Q54" i="1"/>
  <c r="Q62" i="1"/>
  <c r="K61" i="1"/>
  <c r="Q61" i="1"/>
  <c r="Q22" i="1"/>
  <c r="I23" i="1"/>
  <c r="Q23" i="1"/>
  <c r="I24" i="1"/>
  <c r="Q24" i="1"/>
  <c r="Q25" i="1"/>
  <c r="I26" i="1"/>
  <c r="Q26" i="1"/>
  <c r="I27" i="1"/>
  <c r="Q27" i="1"/>
  <c r="I28" i="1"/>
  <c r="Q28" i="1"/>
  <c r="Q29" i="1"/>
  <c r="I30" i="1"/>
  <c r="Q30" i="1"/>
  <c r="I31" i="1"/>
  <c r="Q31" i="1"/>
  <c r="I32" i="1"/>
  <c r="Q32" i="1"/>
  <c r="Q33" i="1"/>
  <c r="Q21" i="1"/>
  <c r="E53" i="2"/>
  <c r="E58" i="2"/>
  <c r="E59" i="2"/>
  <c r="E61" i="2"/>
  <c r="E63" i="2"/>
  <c r="E50" i="2"/>
  <c r="E84" i="1"/>
  <c r="F84" i="1"/>
  <c r="G84" i="1"/>
  <c r="J84" i="1"/>
  <c r="G78" i="1"/>
  <c r="J78" i="1"/>
  <c r="E76" i="1"/>
  <c r="F76" i="1"/>
  <c r="G87" i="1"/>
  <c r="K87" i="1"/>
  <c r="E43" i="1"/>
  <c r="F43" i="1"/>
  <c r="G43" i="1"/>
  <c r="K43" i="1"/>
  <c r="E81" i="1"/>
  <c r="F81" i="1"/>
  <c r="G81" i="1"/>
  <c r="I81" i="1"/>
  <c r="E73" i="1"/>
  <c r="F73" i="1"/>
  <c r="G73" i="1"/>
  <c r="J73" i="1"/>
  <c r="G38" i="1"/>
  <c r="K38" i="1"/>
  <c r="E60" i="1"/>
  <c r="F60" i="1"/>
  <c r="G60" i="1"/>
  <c r="K60" i="1"/>
  <c r="G80" i="1"/>
  <c r="K80" i="1"/>
  <c r="E78" i="1"/>
  <c r="F78" i="1"/>
  <c r="E87" i="1"/>
  <c r="F87" i="1"/>
  <c r="G85" i="1"/>
  <c r="I85" i="1"/>
  <c r="E83" i="1"/>
  <c r="F83" i="1"/>
  <c r="G83" i="1"/>
  <c r="J83" i="1"/>
  <c r="E75" i="1"/>
  <c r="F75" i="1"/>
  <c r="G75" i="1"/>
  <c r="K75" i="1"/>
  <c r="E80" i="1"/>
  <c r="F80" i="1"/>
  <c r="E72" i="1"/>
  <c r="F72" i="1"/>
  <c r="G72" i="1"/>
  <c r="J72" i="1"/>
  <c r="G86" i="1"/>
  <c r="K86" i="1"/>
  <c r="E85" i="1"/>
  <c r="F85" i="1"/>
  <c r="G79" i="1"/>
  <c r="J79" i="1"/>
  <c r="E77" i="1"/>
  <c r="F77" i="1"/>
  <c r="G77" i="1"/>
  <c r="J77" i="1"/>
  <c r="G71" i="1"/>
  <c r="E82" i="1"/>
  <c r="F82" i="1"/>
  <c r="G82" i="1"/>
  <c r="K82" i="1"/>
  <c r="G76" i="1"/>
  <c r="I76" i="1"/>
  <c r="E74" i="1"/>
  <c r="F74" i="1"/>
  <c r="G74" i="1"/>
  <c r="K74" i="1"/>
  <c r="E52" i="2"/>
  <c r="E49" i="2"/>
  <c r="E57" i="2"/>
  <c r="E60" i="2"/>
  <c r="J71" i="1"/>
  <c r="E51" i="2"/>
  <c r="E55" i="2"/>
  <c r="E54" i="2"/>
  <c r="E29" i="2"/>
  <c r="E62" i="2"/>
  <c r="C12" i="1"/>
  <c r="C11" i="1"/>
  <c r="O77" i="1" l="1"/>
  <c r="O21" i="1"/>
  <c r="O82" i="1"/>
  <c r="O35" i="1"/>
  <c r="O58" i="1"/>
  <c r="O22" i="1"/>
  <c r="O36" i="1"/>
  <c r="O45" i="1"/>
  <c r="O83" i="1"/>
  <c r="O38" i="1"/>
  <c r="O53" i="1"/>
  <c r="O76" i="1"/>
  <c r="O51" i="1"/>
  <c r="O60" i="1"/>
  <c r="O27" i="1"/>
  <c r="O56" i="1"/>
  <c r="O70" i="1"/>
  <c r="O68" i="1"/>
  <c r="O73" i="1"/>
  <c r="O44" i="1"/>
  <c r="O66" i="1"/>
  <c r="O61" i="1"/>
  <c r="C15" i="1"/>
  <c r="O65" i="1"/>
  <c r="O78" i="1"/>
  <c r="O75" i="1"/>
  <c r="O31" i="1"/>
  <c r="O54" i="1"/>
  <c r="O81" i="1"/>
  <c r="O30" i="1"/>
  <c r="O59" i="1"/>
  <c r="O32" i="1"/>
  <c r="O80" i="1"/>
  <c r="O71" i="1"/>
  <c r="O79" i="1"/>
  <c r="O74" i="1"/>
  <c r="O34" i="1"/>
  <c r="O64" i="1"/>
  <c r="O40" i="1"/>
  <c r="O29" i="1"/>
  <c r="O67" i="1"/>
  <c r="O72" i="1"/>
  <c r="O52" i="1"/>
  <c r="O48" i="1"/>
  <c r="O42" i="1"/>
  <c r="O55" i="1"/>
  <c r="O24" i="1"/>
  <c r="O84" i="1"/>
  <c r="O28" i="1"/>
  <c r="O25" i="1"/>
  <c r="O69" i="1"/>
  <c r="O47" i="1"/>
  <c r="O46" i="1"/>
  <c r="O63" i="1"/>
  <c r="O43" i="1"/>
  <c r="O41" i="1"/>
  <c r="O39" i="1"/>
  <c r="O62" i="1"/>
  <c r="O49" i="1"/>
  <c r="O37" i="1"/>
  <c r="O86" i="1"/>
  <c r="O23" i="1"/>
  <c r="O50" i="1"/>
  <c r="O33" i="1"/>
  <c r="O57" i="1"/>
  <c r="O26" i="1"/>
  <c r="O87" i="1"/>
  <c r="O8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<sst xmlns="http://schemas.openxmlformats.org/spreadsheetml/2006/main" count="648" uniqueCount="298">
  <si>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</si>
  <si>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</si>
  <si>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</si>
  <si>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</si>
  <si>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</si>
  <si>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</si>
  <si>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</si>
  <si>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</si>
  <si>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</si>
  <si>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</si>
  <si>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</si>
  <si>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</si>
  <si>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</si>
  <si>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</si>
  <si>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</si>
  <si>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</si>
  <si>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</si>
  <si>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</si>
  <si>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</si>
  <si>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</si>
  <si>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</si>
  <si>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</si>
  <si>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</si>
  <si>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</si>
  <si>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</si>
  <si>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</si>
  <si>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</si>
  <si>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</si>
  <si>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</si>
  <si>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</si>
  <si>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Bull.97</t>
  </si>
  <si>
    <t>B</t>
  </si>
  <si>
    <t>v</t>
  </si>
  <si>
    <t>BBSAG Bull.101</t>
  </si>
  <si>
    <t>BBSAG Bull.103</t>
  </si>
  <si>
    <t>BBSAG Bull.106</t>
  </si>
  <si>
    <t>phe</t>
  </si>
  <si>
    <t>BBSAG Bull.110</t>
  </si>
  <si>
    <t>ccd</t>
  </si>
  <si>
    <t>BBSAG Bull.112</t>
  </si>
  <si>
    <t>BBSAG Bull.115</t>
  </si>
  <si>
    <t>II</t>
  </si>
  <si>
    <t>Pashke</t>
  </si>
  <si>
    <t>http://anton.paschke.com/stars/CMi0.htm</t>
  </si>
  <si>
    <t>I</t>
  </si>
  <si>
    <t>IBVS 5583</t>
  </si>
  <si>
    <t>EW/KW</t>
  </si>
  <si>
    <t>IBVS 5603</t>
  </si>
  <si>
    <t>IBVS 5690</t>
  </si>
  <si>
    <t>A.Paschke BBS 125</t>
  </si>
  <si>
    <t>R.Diethelm BBS 124</t>
  </si>
  <si>
    <t>IBVS 5438</t>
  </si>
  <si>
    <t>ROTSE</t>
  </si>
  <si>
    <t>II?</t>
  </si>
  <si>
    <t>I?</t>
  </si>
  <si>
    <t>A.Paschke BBS 121</t>
  </si>
  <si>
    <t># of data points:</t>
  </si>
  <si>
    <t>IBVS 5731</t>
  </si>
  <si>
    <t>TX CMi / gsc 0187-1110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</si>
  <si>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</si>
  <si>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</si>
  <si>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</si>
  <si>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</si>
  <si>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</si>
  <si>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</si>
  <si>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5802</t>
  </si>
  <si>
    <t>IBVS 5894</t>
  </si>
  <si>
    <t>OEJV 0074</t>
  </si>
  <si>
    <t>Start of linear fit &gt;&gt;&gt;&gt;&gt;&gt;&gt;&gt;&gt;&gt;&gt;&gt;&gt;&gt;&gt;&gt;&gt;&gt;&gt;&gt;&gt;</t>
  </si>
  <si>
    <t>Add cycle</t>
  </si>
  <si>
    <t>Old Cycle</t>
  </si>
  <si>
    <t>IBVS 5992</t>
  </si>
  <si>
    <t>IBVS 6010</t>
  </si>
  <si>
    <t>OEJV 0142</t>
  </si>
  <si>
    <t>JAVSO..38...85</t>
  </si>
  <si>
    <t>IBVS 6029</t>
  </si>
  <si>
    <t>OEJV 0147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</si>
  <si>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</si>
  <si>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</si>
  <si>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</si>
  <si>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</si>
  <si>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</si>
  <si>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</si>
  <si>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</si>
  <si>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</si>
  <si>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</si>
  <si>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</si>
  <si>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</si>
  <si>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</si>
  <si>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2448307.435 </t>
  </si>
  <si>
    <t> 19.02.1991 22:26 </t>
  </si>
  <si>
    <t> 0.004 </t>
  </si>
  <si>
    <t>E </t>
  </si>
  <si>
    <t>?</t>
  </si>
  <si>
    <t> A.Paschke </t>
  </si>
  <si>
    <t> BBS 97 </t>
  </si>
  <si>
    <t>2448571.517 </t>
  </si>
  <si>
    <t> 11.11.1991 00:24 </t>
  </si>
  <si>
    <t> 0.001 </t>
  </si>
  <si>
    <t> BBS 101 </t>
  </si>
  <si>
    <t>2448651.501 </t>
  </si>
  <si>
    <t> 30.01.1992 00:01 </t>
  </si>
  <si>
    <t>2448655.595 </t>
  </si>
  <si>
    <t> 03.02.1992 02:16 </t>
  </si>
  <si>
    <t> 0.008 </t>
  </si>
  <si>
    <t>2448677.385 </t>
  </si>
  <si>
    <t> 24.02.1992 21:14 </t>
  </si>
  <si>
    <t> 0.002 </t>
  </si>
  <si>
    <t>2448971.640 </t>
  </si>
  <si>
    <t> 15.12.1992 03:21 </t>
  </si>
  <si>
    <t> BBS 103 </t>
  </si>
  <si>
    <t>2449032.550 </t>
  </si>
  <si>
    <t> 14.02.1993 01:12 </t>
  </si>
  <si>
    <t> 0.006 </t>
  </si>
  <si>
    <t>2449383.415 </t>
  </si>
  <si>
    <t> 30.01.1994 21:57 </t>
  </si>
  <si>
    <t> -0.009 </t>
  </si>
  <si>
    <t> BBS 106 </t>
  </si>
  <si>
    <t>2449698.501 </t>
  </si>
  <si>
    <t> 12.12.1994 00:01 </t>
  </si>
  <si>
    <t> 0.005 </t>
  </si>
  <si>
    <t> BBS 110 </t>
  </si>
  <si>
    <t>2450138.509 </t>
  </si>
  <si>
    <t> 25.02.1996 00:12 </t>
  </si>
  <si>
    <t> BBS 112 </t>
  </si>
  <si>
    <t>2450547.382 </t>
  </si>
  <si>
    <t> 08.04.1997 21:10 </t>
  </si>
  <si>
    <t> BBS 115 </t>
  </si>
  <si>
    <t>2451250.308 </t>
  </si>
  <si>
    <t> 12.03.1999 19:23 </t>
  </si>
  <si>
    <t> -0.000 </t>
  </si>
  <si>
    <t> BBS 121 </t>
  </si>
  <si>
    <t>2451876.5559 </t>
  </si>
  <si>
    <t> 28.11.2000 01:20 </t>
  </si>
  <si>
    <t> -0.0044 </t>
  </si>
  <si>
    <t> M.Zejda </t>
  </si>
  <si>
    <t>IBVS 5583 </t>
  </si>
  <si>
    <t>2451899.52809 </t>
  </si>
  <si>
    <t> 21.12.2000 00:40 </t>
  </si>
  <si>
    <t> 0.00397 </t>
  </si>
  <si>
    <t>C </t>
  </si>
  <si>
    <t>o</t>
  </si>
  <si>
    <t> J.Šafár </t>
  </si>
  <si>
    <t>OEJV 0074 </t>
  </si>
  <si>
    <t>2451924.4321 </t>
  </si>
  <si>
    <t> 14.01.2001 22:22 </t>
  </si>
  <si>
    <t> -0.0020 </t>
  </si>
  <si>
    <t>2451925.598 </t>
  </si>
  <si>
    <t> 16.01.2001 02:21 </t>
  </si>
  <si>
    <t> -0.004 </t>
  </si>
  <si>
    <t> BBS 125 </t>
  </si>
  <si>
    <t>2451951.4801 </t>
  </si>
  <si>
    <t> 10.02.2001 23:31 </t>
  </si>
  <si>
    <t> -0.0046 </t>
  </si>
  <si>
    <t> R.Diethelm </t>
  </si>
  <si>
    <t> BBS 124 </t>
  </si>
  <si>
    <t>2451965.2990 </t>
  </si>
  <si>
    <t> 24.02.2001 19:10 </t>
  </si>
  <si>
    <t> -0.0030 </t>
  </si>
  <si>
    <t>2451968.41247 </t>
  </si>
  <si>
    <t> 27.02.2001 21:53 </t>
  </si>
  <si>
    <t> -0.00324 </t>
  </si>
  <si>
    <t>2451985.3428 </t>
  </si>
  <si>
    <t> 16.03.2001 20:13 </t>
  </si>
  <si>
    <t> -0.0039 </t>
  </si>
  <si>
    <t>2452230.55213 </t>
  </si>
  <si>
    <t> 17.11.2001 01:15 </t>
  </si>
  <si>
    <t> -0.00190 </t>
  </si>
  <si>
    <t>2452279.5917 </t>
  </si>
  <si>
    <t> 05.01.2002 02:12 </t>
  </si>
  <si>
    <t> -0.0038 </t>
  </si>
  <si>
    <t>2452362.3002 </t>
  </si>
  <si>
    <t> 28.03.2002 19:12 </t>
  </si>
  <si>
    <t> -0.0041 </t>
  </si>
  <si>
    <t>2452367.3610 </t>
  </si>
  <si>
    <t> 02.04.2002 20:39 </t>
  </si>
  <si>
    <t> -0.0032 </t>
  </si>
  <si>
    <t>2452369.3125 </t>
  </si>
  <si>
    <t> 04.04.2002 19:30 </t>
  </si>
  <si>
    <t> 0.0023 </t>
  </si>
  <si>
    <t>2452668.2263 </t>
  </si>
  <si>
    <t> 28.01.2003 17:25 </t>
  </si>
  <si>
    <t> -0.0034 </t>
  </si>
  <si>
    <t>2452668.4205 </t>
  </si>
  <si>
    <t> 28.01.2003 22:05 </t>
  </si>
  <si>
    <t>2452692.361 </t>
  </si>
  <si>
    <t> 21.02.2003 20:39 </t>
  </si>
  <si>
    <t> BBS 129 </t>
  </si>
  <si>
    <t>2452995.1674 </t>
  </si>
  <si>
    <t> 21.12.2003 16:01 </t>
  </si>
  <si>
    <t> -0.0054 </t>
  </si>
  <si>
    <t> Kiyota </t>
  </si>
  <si>
    <t>VSB 42 </t>
  </si>
  <si>
    <t>2453000.4210 </t>
  </si>
  <si>
    <t> 26.12.2003 22:06 </t>
  </si>
  <si>
    <t> -0.0062 </t>
  </si>
  <si>
    <t>2453318.8024 </t>
  </si>
  <si>
    <t> 09.11.2004 07:15 </t>
  </si>
  <si>
    <t> -0.0052 </t>
  </si>
  <si>
    <t> S.Dvorak </t>
  </si>
  <si>
    <t>IBVS 5603 </t>
  </si>
  <si>
    <t>2453320.9432 </t>
  </si>
  <si>
    <t> 11.11.2004 10:38 </t>
  </si>
  <si>
    <t> -0.0051 </t>
  </si>
  <si>
    <t> T.Krajci </t>
  </si>
  <si>
    <t>IBVS 5690 </t>
  </si>
  <si>
    <t>2453353.8320 </t>
  </si>
  <si>
    <t> 14.12.2004 07:58 </t>
  </si>
  <si>
    <t>2453410.2691 </t>
  </si>
  <si>
    <t> 08.02.2005 18:27 </t>
  </si>
  <si>
    <t> -0.0047 </t>
  </si>
  <si>
    <t> M.Zejda et al. </t>
  </si>
  <si>
    <t>IBVS 5741 </t>
  </si>
  <si>
    <t>2453410.4645 </t>
  </si>
  <si>
    <t> 08.02.2005 23:08 </t>
  </si>
  <si>
    <t>2453464.3712 </t>
  </si>
  <si>
    <t> 03.04.2005 20:54 </t>
  </si>
  <si>
    <t>2453768.3487 </t>
  </si>
  <si>
    <t> 01.02.2006 20:22 </t>
  </si>
  <si>
    <t> -0.0056 </t>
  </si>
  <si>
    <t>-I</t>
  </si>
  <si>
    <t> F.Agerer </t>
  </si>
  <si>
    <t>BAVM 178 </t>
  </si>
  <si>
    <t>2453768.5416 </t>
  </si>
  <si>
    <t> 02.02.2006 00:59 </t>
  </si>
  <si>
    <t>-1858</t>
  </si>
  <si>
    <t> -0.0074 </t>
  </si>
  <si>
    <t>2454149.3936 </t>
  </si>
  <si>
    <t> 17.02.2007 21:26 </t>
  </si>
  <si>
    <t>-879.5</t>
  </si>
  <si>
    <t>BAVM 186 </t>
  </si>
  <si>
    <t>2454153.2860 </t>
  </si>
  <si>
    <t> 21.02.2007 18:51 </t>
  </si>
  <si>
    <t>-869.5</t>
  </si>
  <si>
    <t> -0.0049 </t>
  </si>
  <si>
    <t>2454200.3820 </t>
  </si>
  <si>
    <t> 09.04.2007 21:10 </t>
  </si>
  <si>
    <t>-748.5</t>
  </si>
  <si>
    <t> -0.0043 </t>
  </si>
  <si>
    <t>2454888.7173 </t>
  </si>
  <si>
    <t> 26.02.2009 05:12 </t>
  </si>
  <si>
    <t>1020</t>
  </si>
  <si>
    <t> -0.0011 </t>
  </si>
  <si>
    <t>IBVS 5894 </t>
  </si>
  <si>
    <t>2454890.4652 </t>
  </si>
  <si>
    <t> 27.02.2009 23:09 </t>
  </si>
  <si>
    <t>1024.5</t>
  </si>
  <si>
    <t>ns</t>
  </si>
  <si>
    <t> L.Corp </t>
  </si>
  <si>
    <t> JAAVSO 38;85 </t>
  </si>
  <si>
    <t>2455601.567 </t>
  </si>
  <si>
    <t> 09.02.2011 01:36 </t>
  </si>
  <si>
    <t>2851.5</t>
  </si>
  <si>
    <t>OEJV 0142 </t>
  </si>
  <si>
    <t>2455621.4197 </t>
  </si>
  <si>
    <t> 28.02.2011 22:04 </t>
  </si>
  <si>
    <t>2902.5</t>
  </si>
  <si>
    <t> -0.0015 </t>
  </si>
  <si>
    <t>BAVM 220 </t>
  </si>
  <si>
    <t>2455625.3126 </t>
  </si>
  <si>
    <t> 04.03.2011 19:30 </t>
  </si>
  <si>
    <t>2912.5</t>
  </si>
  <si>
    <t> -0.0008 </t>
  </si>
  <si>
    <t>2455625.5047 </t>
  </si>
  <si>
    <t> 05.03.2011 00:06 </t>
  </si>
  <si>
    <t>2913</t>
  </si>
  <si>
    <t> -0.0033 </t>
  </si>
  <si>
    <t>2455638.7378 </t>
  </si>
  <si>
    <t> 18.03.2011 05:42 </t>
  </si>
  <si>
    <t>2947</t>
  </si>
  <si>
    <t> -0.0036 </t>
  </si>
  <si>
    <t>IBVS 5992 </t>
  </si>
  <si>
    <t>2455941.55 </t>
  </si>
  <si>
    <t> 15.01.2012 01:12 </t>
  </si>
  <si>
    <t>3725</t>
  </si>
  <si>
    <t> -0.00 </t>
  </si>
  <si>
    <t>OEJV 0147 </t>
  </si>
  <si>
    <t>2455987.6717 </t>
  </si>
  <si>
    <t> 01.03.2012 04:07 </t>
  </si>
  <si>
    <t>3843.5</t>
  </si>
  <si>
    <t> -0.0037 </t>
  </si>
  <si>
    <t>IBVS 6029 </t>
  </si>
  <si>
    <t>2456713.3747 </t>
  </si>
  <si>
    <t> 24.02.2014 20:59 </t>
  </si>
  <si>
    <t>5708</t>
  </si>
  <si>
    <t> 0.0024 </t>
  </si>
  <si>
    <t>BAVM 238 </t>
  </si>
  <si>
    <t>2456726.4123 </t>
  </si>
  <si>
    <t> 09.03.2014 21:53 </t>
  </si>
  <si>
    <t>5741.5</t>
  </si>
  <si>
    <t> 0.0012 </t>
  </si>
  <si>
    <t>2457009.1820 </t>
  </si>
  <si>
    <t> 17.12.2014 16:22 </t>
  </si>
  <si>
    <t>6468</t>
  </si>
  <si>
    <t> 0.0040 </t>
  </si>
  <si>
    <t> S.Kiyota </t>
  </si>
  <si>
    <t>VSB 59 </t>
  </si>
  <si>
    <t>VSB_061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</si>
</sst>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System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8" fillId="0" borderId="0" xfId="42" applyFont="1"/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39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CMi - O-C Diagr.</a:t>
            </a:r>
          </a:p>
        </c:rich>
      </c:tx>
      <c:layout>
        <c:manualLayout>
          <c:xMode val="edge"/>
          <c:yMode val="edge"/>
          <c:x val="0.3837753510140405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4555382215288"/>
          <c:y val="0.14723926380368099"/>
          <c:w val="0.8127925117004680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5-4416-B623-955EE24786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-8.6500003817491233E-6</c:v>
                </c:pt>
                <c:pt idx="2">
                  <c:v>-3.5899996873922646E-5</c:v>
                </c:pt>
                <c:pt idx="3">
                  <c:v>-1.9739499985007569E-3</c:v>
                </c:pt>
                <c:pt idx="4">
                  <c:v>-2.1291000011842698E-3</c:v>
                </c:pt>
                <c:pt idx="5">
                  <c:v>5.0892500003101304E-3</c:v>
                </c:pt>
                <c:pt idx="6">
                  <c:v>-1.079549991118256E-3</c:v>
                </c:pt>
                <c:pt idx="7">
                  <c:v>5.641650001052767E-3</c:v>
                </c:pt>
                <c:pt idx="8">
                  <c:v>3.1342000074801035E-3</c:v>
                </c:pt>
                <c:pt idx="9">
                  <c:v>-1.1261749998084269E-2</c:v>
                </c:pt>
                <c:pt idx="10">
                  <c:v>3.3339000001433305E-3</c:v>
                </c:pt>
                <c:pt idx="11">
                  <c:v>1.1762499998440035E-3</c:v>
                </c:pt>
                <c:pt idx="12">
                  <c:v>1.4025999989826232E-3</c:v>
                </c:pt>
                <c:pt idx="13">
                  <c:v>9.5880000299075618E-4</c:v>
                </c:pt>
                <c:pt idx="19">
                  <c:v>-1.0566999990260229E-3</c:v>
                </c:pt>
                <c:pt idx="38">
                  <c:v>3.8623000000370666E-3</c:v>
                </c:pt>
                <c:pt idx="55">
                  <c:v>5.1534500016714446E-3</c:v>
                </c:pt>
                <c:pt idx="60">
                  <c:v>6.841900001745671E-3</c:v>
                </c:pt>
                <c:pt idx="64">
                  <c:v>1.5788000004249625E-2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5-4416-B623-955EE24786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8">
                  <c:v>3.3645000075921416E-4</c:v>
                </c:pt>
                <c:pt idx="49">
                  <c:v>-1.3722000003326684E-3</c:v>
                </c:pt>
                <c:pt idx="50">
                  <c:v>1.4997500038589351E-3</c:v>
                </c:pt>
                <c:pt idx="51">
                  <c:v>1.7267500006710179E-3</c:v>
                </c:pt>
                <c:pt idx="52">
                  <c:v>2.4334500049008057E-3</c:v>
                </c:pt>
                <c:pt idx="56">
                  <c:v>7.7711500052828342E-3</c:v>
                </c:pt>
                <c:pt idx="57">
                  <c:v>8.4981500040157698E-3</c:v>
                </c:pt>
                <c:pt idx="58">
                  <c:v>5.9895000013057142E-3</c:v>
                </c:pt>
                <c:pt idx="62">
                  <c:v>1.363600000331644E-2</c:v>
                </c:pt>
                <c:pt idx="63">
                  <c:v>1.2456450007448439E-2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5-4416-B623-955EE24786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4">
                  <c:v>-8.4743499974138103E-3</c:v>
                </c:pt>
                <c:pt idx="15">
                  <c:v>-1.1582999992242549E-2</c:v>
                </c:pt>
                <c:pt idx="16">
                  <c:v>-1.7768999969121069E-3</c:v>
                </c:pt>
                <c:pt idx="17">
                  <c:v>6.5924000009545125E-3</c:v>
                </c:pt>
                <c:pt idx="18">
                  <c:v>6.9520000397460535E-4</c:v>
                </c:pt>
                <c:pt idx="20">
                  <c:v>-1.9071499991696328E-3</c:v>
                </c:pt>
                <c:pt idx="21">
                  <c:v>-2.212999970652163E-4</c:v>
                </c:pt>
                <c:pt idx="22">
                  <c:v>-4.8969999625114724E-4</c:v>
                </c:pt>
                <c:pt idx="23">
                  <c:v>-1.1122500000055879E-3</c:v>
                </c:pt>
                <c:pt idx="24">
                  <c:v>1.3187500007916242E-3</c:v>
                </c:pt>
                <c:pt idx="25">
                  <c:v>-6.9104999420233071E-4</c:v>
                </c:pt>
                <c:pt idx="26">
                  <c:v>-4.9104999925475568E-4</c:v>
                </c:pt>
                <c:pt idx="27">
                  <c:v>-6.6730000253301114E-4</c:v>
                </c:pt>
                <c:pt idx="28">
                  <c:v>3.0780000088270754E-4</c:v>
                </c:pt>
                <c:pt idx="29">
                  <c:v>7.0780000532977283E-4</c:v>
                </c:pt>
                <c:pt idx="30">
                  <c:v>-3.178699997079093E-3</c:v>
                </c:pt>
                <c:pt idx="31">
                  <c:v>5.721300003642682E-3</c:v>
                </c:pt>
                <c:pt idx="32">
                  <c:v>6.3490000320598483E-4</c:v>
                </c:pt>
                <c:pt idx="33">
                  <c:v>7.3490000067977235E-4</c:v>
                </c:pt>
                <c:pt idx="34">
                  <c:v>9.3490000290330499E-4</c:v>
                </c:pt>
                <c:pt idx="35">
                  <c:v>-6.7374999343883246E-4</c:v>
                </c:pt>
                <c:pt idx="36">
                  <c:v>2.2625000565312803E-4</c:v>
                </c:pt>
                <c:pt idx="37">
                  <c:v>1.6262500066659413E-3</c:v>
                </c:pt>
                <c:pt idx="39">
                  <c:v>-7.9709999408805743E-4</c:v>
                </c:pt>
                <c:pt idx="40">
                  <c:v>-1.6306499892380089E-3</c:v>
                </c:pt>
                <c:pt idx="41">
                  <c:v>-1.1306499945931137E-3</c:v>
                </c:pt>
                <c:pt idx="42">
                  <c:v>1.7950005712918937E-5</c:v>
                </c:pt>
                <c:pt idx="43">
                  <c:v>1.2280000373721123E-4</c:v>
                </c:pt>
                <c:pt idx="44">
                  <c:v>6.0950005718041211E-5</c:v>
                </c:pt>
                <c:pt idx="45">
                  <c:v>6.5244999859714881E-4</c:v>
                </c:pt>
                <c:pt idx="46">
                  <c:v>1.4438000071095303E-3</c:v>
                </c:pt>
                <c:pt idx="47">
                  <c:v>1.5477500055567361E-3</c:v>
                </c:pt>
                <c:pt idx="53">
                  <c:v>6.9384000016725622E-3</c:v>
                </c:pt>
                <c:pt idx="54">
                  <c:v>3.3605499993427657E-3</c:v>
                </c:pt>
                <c:pt idx="59">
                  <c:v>5.7013000041479245E-3</c:v>
                </c:pt>
                <c:pt idx="61">
                  <c:v>6.291849997069221E-3</c:v>
                </c:pt>
                <c:pt idx="65">
                  <c:v>1.4592199899198022E-2</c:v>
                </c:pt>
                <c:pt idx="66">
                  <c:v>1.4367300078447443E-2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5-4416-B623-955EE24786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5-4416-B623-955EE24786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5-4416-B623-955EE24786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5-4416-B623-955EE24786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-6.4765775733443623E-2</c:v>
                </c:pt>
                <c:pt idx="1">
                  <c:v>-6.4765033656114274E-2</c:v>
                </c:pt>
                <c:pt idx="2">
                  <c:v>-2.0117951135989007E-2</c:v>
                </c:pt>
                <c:pt idx="3">
                  <c:v>-1.9110952200065964E-2</c:v>
                </c:pt>
                <c:pt idx="4">
                  <c:v>-1.8805958417704598E-2</c:v>
                </c:pt>
                <c:pt idx="5">
                  <c:v>-1.8790374793788325E-2</c:v>
                </c:pt>
                <c:pt idx="6">
                  <c:v>-1.8707262132901532E-2</c:v>
                </c:pt>
                <c:pt idx="7">
                  <c:v>-1.7585241210929796E-2</c:v>
                </c:pt>
                <c:pt idx="8">
                  <c:v>-1.7352971006844381E-2</c:v>
                </c:pt>
                <c:pt idx="9">
                  <c:v>-1.6015005582032844E-2</c:v>
                </c:pt>
                <c:pt idx="10">
                  <c:v>-1.4813582385821047E-2</c:v>
                </c:pt>
                <c:pt idx="11">
                  <c:v>-1.3135745544168874E-2</c:v>
                </c:pt>
                <c:pt idx="12">
                  <c:v>-1.1576641075212113E-2</c:v>
                </c:pt>
                <c:pt idx="13">
                  <c:v>-8.8962577616129718E-3</c:v>
                </c:pt>
                <c:pt idx="14">
                  <c:v>-8.799045631468598E-3</c:v>
                </c:pt>
                <c:pt idx="15">
                  <c:v>-8.7983035541392487E-3</c:v>
                </c:pt>
                <c:pt idx="16">
                  <c:v>-6.508252915776308E-3</c:v>
                </c:pt>
                <c:pt idx="17">
                  <c:v>-6.4206877909134333E-3</c:v>
                </c:pt>
                <c:pt idx="18">
                  <c:v>-6.3257018927570935E-3</c:v>
                </c:pt>
                <c:pt idx="19">
                  <c:v>-6.3212494287810186E-3</c:v>
                </c:pt>
                <c:pt idx="20">
                  <c:v>-6.2225531439779463E-3</c:v>
                </c:pt>
                <c:pt idx="21">
                  <c:v>-6.1698656535943558E-3</c:v>
                </c:pt>
                <c:pt idx="22">
                  <c:v>-6.157992416324809E-3</c:v>
                </c:pt>
                <c:pt idx="23">
                  <c:v>-6.0934316886716786E-3</c:v>
                </c:pt>
                <c:pt idx="24">
                  <c:v>-5.1584142536952315E-3</c:v>
                </c:pt>
                <c:pt idx="25">
                  <c:v>-4.9714107666999421E-3</c:v>
                </c:pt>
                <c:pt idx="26">
                  <c:v>-4.9714107666999421E-3</c:v>
                </c:pt>
                <c:pt idx="27">
                  <c:v>-4.6560279017277273E-3</c:v>
                </c:pt>
                <c:pt idx="28">
                  <c:v>-4.6367338911647224E-3</c:v>
                </c:pt>
                <c:pt idx="29">
                  <c:v>-4.6367338911647224E-3</c:v>
                </c:pt>
                <c:pt idx="30">
                  <c:v>-4.6293131178712574E-3</c:v>
                </c:pt>
                <c:pt idx="31">
                  <c:v>-4.6293131178712574E-3</c:v>
                </c:pt>
                <c:pt idx="32">
                  <c:v>-3.4894823399952077E-3</c:v>
                </c:pt>
                <c:pt idx="33">
                  <c:v>-3.4894823399952077E-3</c:v>
                </c:pt>
                <c:pt idx="34">
                  <c:v>-3.4894823399952077E-3</c:v>
                </c:pt>
                <c:pt idx="35">
                  <c:v>-3.4887402626658653E-3</c:v>
                </c:pt>
                <c:pt idx="36">
                  <c:v>-3.4887402626658653E-3</c:v>
                </c:pt>
                <c:pt idx="37">
                  <c:v>-3.4887402626658653E-3</c:v>
                </c:pt>
                <c:pt idx="38">
                  <c:v>-3.3974647511562581E-3</c:v>
                </c:pt>
                <c:pt idx="39">
                  <c:v>-2.2427924266932853E-3</c:v>
                </c:pt>
                <c:pt idx="40">
                  <c:v>-2.2227563388009242E-3</c:v>
                </c:pt>
                <c:pt idx="41">
                  <c:v>-2.2227563388009242E-3</c:v>
                </c:pt>
                <c:pt idx="42">
                  <c:v>-1.0087178279902381E-3</c:v>
                </c:pt>
                <c:pt idx="43">
                  <c:v>-1.0005549773674377E-3</c:v>
                </c:pt>
                <c:pt idx="44">
                  <c:v>-8.7514390870789549E-4</c:v>
                </c:pt>
                <c:pt idx="45">
                  <c:v>-6.5994148319743762E-4</c:v>
                </c:pt>
                <c:pt idx="46">
                  <c:v>-6.5919940586810222E-4</c:v>
                </c:pt>
                <c:pt idx="47">
                  <c:v>-4.5364398563914332E-4</c:v>
                </c:pt>
                <c:pt idx="48">
                  <c:v>7.0548080279990433E-4</c:v>
                </c:pt>
                <c:pt idx="49">
                  <c:v>7.0622288012925361E-4</c:v>
                </c:pt>
                <c:pt idx="50">
                  <c:v>2.158468213660128E-3</c:v>
                </c:pt>
                <c:pt idx="51">
                  <c:v>2.173309760247058E-3</c:v>
                </c:pt>
                <c:pt idx="52">
                  <c:v>2.3528924739488755E-3</c:v>
                </c:pt>
                <c:pt idx="53">
                  <c:v>4.9776199878470428E-3</c:v>
                </c:pt>
                <c:pt idx="54">
                  <c:v>4.9842986838111586E-3</c:v>
                </c:pt>
                <c:pt idx="55">
                  <c:v>7.6958492452428584E-3</c:v>
                </c:pt>
                <c:pt idx="56">
                  <c:v>7.7715411328361794E-3</c:v>
                </c:pt>
                <c:pt idx="57">
                  <c:v>7.7863826794231095E-3</c:v>
                </c:pt>
                <c:pt idx="58">
                  <c:v>7.7871247567524587E-3</c:v>
                </c:pt>
                <c:pt idx="59">
                  <c:v>7.8375860151480153E-3</c:v>
                </c:pt>
                <c:pt idx="60">
                  <c:v>8.9922583396109951E-3</c:v>
                </c:pt>
                <c:pt idx="61">
                  <c:v>9.16813066666608E-3</c:v>
                </c:pt>
                <c:pt idx="62">
                  <c:v>1.1935337027798754E-2</c:v>
                </c:pt>
                <c:pt idx="63">
                  <c:v>1.1985056208864961E-2</c:v>
                </c:pt>
                <c:pt idx="64">
                  <c:v>1.3063294568405256E-2</c:v>
                </c:pt>
                <c:pt idx="65">
                  <c:v>1.3131565682705126E-2</c:v>
                </c:pt>
                <c:pt idx="66">
                  <c:v>1.3150859693268138E-2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5-4416-B623-955EE247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624632"/>
        <c:axId val="1"/>
      </c:scatterChart>
      <c:valAx>
        <c:axId val="795624632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8205928237129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62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52886115444617"/>
          <c:y val="0.92024539877300615"/>
          <c:w val="0.652106084243369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CMi - O-C Diagr.</a:t>
            </a:r>
          </a:p>
        </c:rich>
      </c:tx>
      <c:layout>
        <c:manualLayout>
          <c:xMode val="edge"/>
          <c:yMode val="edge"/>
          <c:x val="0.3831782242172999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2949436194016"/>
          <c:y val="0.14678942920199375"/>
          <c:w val="0.813085348954300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56-4702-9694-1983AE0C0D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-8.6500003817491233E-6</c:v>
                </c:pt>
                <c:pt idx="2">
                  <c:v>-3.5899996873922646E-5</c:v>
                </c:pt>
                <c:pt idx="3">
                  <c:v>-1.9739499985007569E-3</c:v>
                </c:pt>
                <c:pt idx="4">
                  <c:v>-2.1291000011842698E-3</c:v>
                </c:pt>
                <c:pt idx="5">
                  <c:v>5.0892500003101304E-3</c:v>
                </c:pt>
                <c:pt idx="6">
                  <c:v>-1.079549991118256E-3</c:v>
                </c:pt>
                <c:pt idx="7">
                  <c:v>5.641650001052767E-3</c:v>
                </c:pt>
                <c:pt idx="8">
                  <c:v>3.1342000074801035E-3</c:v>
                </c:pt>
                <c:pt idx="9">
                  <c:v>-1.1261749998084269E-2</c:v>
                </c:pt>
                <c:pt idx="10">
                  <c:v>3.3339000001433305E-3</c:v>
                </c:pt>
                <c:pt idx="11">
                  <c:v>1.1762499998440035E-3</c:v>
                </c:pt>
                <c:pt idx="12">
                  <c:v>1.4025999989826232E-3</c:v>
                </c:pt>
                <c:pt idx="13">
                  <c:v>9.5880000299075618E-4</c:v>
                </c:pt>
                <c:pt idx="19">
                  <c:v>-1.0566999990260229E-3</c:v>
                </c:pt>
                <c:pt idx="38">
                  <c:v>3.8623000000370666E-3</c:v>
                </c:pt>
                <c:pt idx="55">
                  <c:v>5.1534500016714446E-3</c:v>
                </c:pt>
                <c:pt idx="60">
                  <c:v>6.841900001745671E-3</c:v>
                </c:pt>
                <c:pt idx="64">
                  <c:v>1.5788000004249625E-2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56-4702-9694-1983AE0C0D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Active!$D$21:$D$938</c:f>
                <c:numCache>
                  <c:formatCode>General</c:formatCode>
                  <c:ptCount val="918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8">
                  <c:v>3.3645000075921416E-4</c:v>
                </c:pt>
                <c:pt idx="49">
                  <c:v>-1.3722000003326684E-3</c:v>
                </c:pt>
                <c:pt idx="50">
                  <c:v>1.4997500038589351E-3</c:v>
                </c:pt>
                <c:pt idx="51">
                  <c:v>1.7267500006710179E-3</c:v>
                </c:pt>
                <c:pt idx="52">
                  <c:v>2.4334500049008057E-3</c:v>
                </c:pt>
                <c:pt idx="56">
                  <c:v>7.7711500052828342E-3</c:v>
                </c:pt>
                <c:pt idx="57">
                  <c:v>8.4981500040157698E-3</c:v>
                </c:pt>
                <c:pt idx="58">
                  <c:v>5.9895000013057142E-3</c:v>
                </c:pt>
                <c:pt idx="62">
                  <c:v>1.363600000331644E-2</c:v>
                </c:pt>
                <c:pt idx="63">
                  <c:v>1.2456450007448439E-2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56-4702-9694-1983AE0C0D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4">
                  <c:v>-8.4743499974138103E-3</c:v>
                </c:pt>
                <c:pt idx="15">
                  <c:v>-1.1582999992242549E-2</c:v>
                </c:pt>
                <c:pt idx="16">
                  <c:v>-1.7768999969121069E-3</c:v>
                </c:pt>
                <c:pt idx="17">
                  <c:v>6.5924000009545125E-3</c:v>
                </c:pt>
                <c:pt idx="18">
                  <c:v>6.9520000397460535E-4</c:v>
                </c:pt>
                <c:pt idx="20">
                  <c:v>-1.9071499991696328E-3</c:v>
                </c:pt>
                <c:pt idx="21">
                  <c:v>-2.212999970652163E-4</c:v>
                </c:pt>
                <c:pt idx="22">
                  <c:v>-4.8969999625114724E-4</c:v>
                </c:pt>
                <c:pt idx="23">
                  <c:v>-1.1122500000055879E-3</c:v>
                </c:pt>
                <c:pt idx="24">
                  <c:v>1.3187500007916242E-3</c:v>
                </c:pt>
                <c:pt idx="25">
                  <c:v>-6.9104999420233071E-4</c:v>
                </c:pt>
                <c:pt idx="26">
                  <c:v>-4.9104999925475568E-4</c:v>
                </c:pt>
                <c:pt idx="27">
                  <c:v>-6.6730000253301114E-4</c:v>
                </c:pt>
                <c:pt idx="28">
                  <c:v>3.0780000088270754E-4</c:v>
                </c:pt>
                <c:pt idx="29">
                  <c:v>7.0780000532977283E-4</c:v>
                </c:pt>
                <c:pt idx="30">
                  <c:v>-3.178699997079093E-3</c:v>
                </c:pt>
                <c:pt idx="31">
                  <c:v>5.721300003642682E-3</c:v>
                </c:pt>
                <c:pt idx="32">
                  <c:v>6.3490000320598483E-4</c:v>
                </c:pt>
                <c:pt idx="33">
                  <c:v>7.3490000067977235E-4</c:v>
                </c:pt>
                <c:pt idx="34">
                  <c:v>9.3490000290330499E-4</c:v>
                </c:pt>
                <c:pt idx="35">
                  <c:v>-6.7374999343883246E-4</c:v>
                </c:pt>
                <c:pt idx="36">
                  <c:v>2.2625000565312803E-4</c:v>
                </c:pt>
                <c:pt idx="37">
                  <c:v>1.6262500066659413E-3</c:v>
                </c:pt>
                <c:pt idx="39">
                  <c:v>-7.9709999408805743E-4</c:v>
                </c:pt>
                <c:pt idx="40">
                  <c:v>-1.6306499892380089E-3</c:v>
                </c:pt>
                <c:pt idx="41">
                  <c:v>-1.1306499945931137E-3</c:v>
                </c:pt>
                <c:pt idx="42">
                  <c:v>1.7950005712918937E-5</c:v>
                </c:pt>
                <c:pt idx="43">
                  <c:v>1.2280000373721123E-4</c:v>
                </c:pt>
                <c:pt idx="44">
                  <c:v>6.0950005718041211E-5</c:v>
                </c:pt>
                <c:pt idx="45">
                  <c:v>6.5244999859714881E-4</c:v>
                </c:pt>
                <c:pt idx="46">
                  <c:v>1.4438000071095303E-3</c:v>
                </c:pt>
                <c:pt idx="47">
                  <c:v>1.5477500055567361E-3</c:v>
                </c:pt>
                <c:pt idx="53">
                  <c:v>6.9384000016725622E-3</c:v>
                </c:pt>
                <c:pt idx="54">
                  <c:v>3.3605499993427657E-3</c:v>
                </c:pt>
                <c:pt idx="59">
                  <c:v>5.7013000041479245E-3</c:v>
                </c:pt>
                <c:pt idx="61">
                  <c:v>6.291849997069221E-3</c:v>
                </c:pt>
                <c:pt idx="65">
                  <c:v>1.4592199899198022E-2</c:v>
                </c:pt>
                <c:pt idx="66">
                  <c:v>1.4367300078447443E-2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56-4702-9694-1983AE0C0D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56-4702-9694-1983AE0C0D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56-4702-9694-1983AE0C0D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  <c:pt idx="7">
                    <c:v>8.0000000000000002E-3</c:v>
                  </c:pt>
                  <c:pt idx="8">
                    <c:v>5.0000000000000001E-3</c:v>
                  </c:pt>
                  <c:pt idx="10">
                    <c:v>3.0000000000000001E-3</c:v>
                  </c:pt>
                  <c:pt idx="11">
                    <c:v>5.0000000000000001E-3</c:v>
                  </c:pt>
                  <c:pt idx="12">
                    <c:v>5.0000000000000001E-3</c:v>
                  </c:pt>
                  <c:pt idx="16">
                    <c:v>4.1999999999999997E-3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21">
                    <c:v>1.8E-3</c:v>
                  </c:pt>
                  <c:pt idx="22">
                    <c:v>3.3999999999999998E-3</c:v>
                  </c:pt>
                  <c:pt idx="23">
                    <c:v>3.8999999999999998E-3</c:v>
                  </c:pt>
                  <c:pt idx="24">
                    <c:v>1.4E-3</c:v>
                  </c:pt>
                  <c:pt idx="25">
                    <c:v>2.2000000000000001E-3</c:v>
                  </c:pt>
                  <c:pt idx="26">
                    <c:v>5.4000000000000003E-3</c:v>
                  </c:pt>
                  <c:pt idx="27">
                    <c:v>1.4E-3</c:v>
                  </c:pt>
                  <c:pt idx="28">
                    <c:v>4.1999999999999997E-3</c:v>
                  </c:pt>
                  <c:pt idx="29">
                    <c:v>2.2000000000000001E-3</c:v>
                  </c:pt>
                  <c:pt idx="30">
                    <c:v>5.5999999999999999E-3</c:v>
                  </c:pt>
                  <c:pt idx="31">
                    <c:v>6.7999999999999996E-3</c:v>
                  </c:pt>
                  <c:pt idx="32">
                    <c:v>6.1000000000000004E-3</c:v>
                  </c:pt>
                  <c:pt idx="33">
                    <c:v>3.8E-3</c:v>
                  </c:pt>
                  <c:pt idx="34">
                    <c:v>6.0000000000000001E-3</c:v>
                  </c:pt>
                  <c:pt idx="35">
                    <c:v>5.7999999999999996E-3</c:v>
                  </c:pt>
                  <c:pt idx="36">
                    <c:v>5.5999999999999999E-3</c:v>
                  </c:pt>
                  <c:pt idx="37">
                    <c:v>5.4999999999999997E-3</c:v>
                  </c:pt>
                  <c:pt idx="38">
                    <c:v>3.0000000000000001E-3</c:v>
                  </c:pt>
                  <c:pt idx="39">
                    <c:v>0</c:v>
                  </c:pt>
                  <c:pt idx="40">
                    <c:v>3.7000000000000002E-3</c:v>
                  </c:pt>
                  <c:pt idx="41">
                    <c:v>3.8E-3</c:v>
                  </c:pt>
                  <c:pt idx="42">
                    <c:v>5.0000000000000001E-4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8.9999999999999998E-4</c:v>
                  </c:pt>
                  <c:pt idx="49">
                    <c:v>1.1000000000000001E-3</c:v>
                  </c:pt>
                  <c:pt idx="50">
                    <c:v>2.7000000000000001E-3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5.0000000000000001E-4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1E-3</c:v>
                  </c:pt>
                  <c:pt idx="57">
                    <c:v>1.6000000000000001E-3</c:v>
                  </c:pt>
                  <c:pt idx="58">
                    <c:v>1.1999999999999999E-3</c:v>
                  </c:pt>
                  <c:pt idx="59">
                    <c:v>4.0000000000000002E-4</c:v>
                  </c:pt>
                  <c:pt idx="60">
                    <c:v>2E-3</c:v>
                  </c:pt>
                  <c:pt idx="61">
                    <c:v>5.0000000000000001E-4</c:v>
                  </c:pt>
                  <c:pt idx="62">
                    <c:v>3.0999999999999999E-3</c:v>
                  </c:pt>
                  <c:pt idx="63">
                    <c:v>1.1999999999999999E-3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56-4702-9694-1983AE0C0D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0.5</c:v>
                </c:pt>
                <c:pt idx="2">
                  <c:v>30083</c:v>
                </c:pt>
                <c:pt idx="3">
                  <c:v>30761.5</c:v>
                </c:pt>
                <c:pt idx="4">
                  <c:v>30967</c:v>
                </c:pt>
                <c:pt idx="5">
                  <c:v>30977.5</c:v>
                </c:pt>
                <c:pt idx="6">
                  <c:v>31033.5</c:v>
                </c:pt>
                <c:pt idx="7">
                  <c:v>31789.5</c:v>
                </c:pt>
                <c:pt idx="8">
                  <c:v>31946</c:v>
                </c:pt>
                <c:pt idx="9">
                  <c:v>32847.5</c:v>
                </c:pt>
                <c:pt idx="10">
                  <c:v>33657</c:v>
                </c:pt>
                <c:pt idx="11">
                  <c:v>34787.5</c:v>
                </c:pt>
                <c:pt idx="12">
                  <c:v>35838</c:v>
                </c:pt>
                <c:pt idx="13">
                  <c:v>37644</c:v>
                </c:pt>
                <c:pt idx="14">
                  <c:v>37709.5</c:v>
                </c:pt>
                <c:pt idx="15">
                  <c:v>37710</c:v>
                </c:pt>
                <c:pt idx="16">
                  <c:v>39253</c:v>
                </c:pt>
                <c:pt idx="17">
                  <c:v>39312</c:v>
                </c:pt>
                <c:pt idx="18">
                  <c:v>39376</c:v>
                </c:pt>
                <c:pt idx="19">
                  <c:v>39379</c:v>
                </c:pt>
                <c:pt idx="20">
                  <c:v>39445.5</c:v>
                </c:pt>
                <c:pt idx="21">
                  <c:v>39481</c:v>
                </c:pt>
                <c:pt idx="22">
                  <c:v>39489</c:v>
                </c:pt>
                <c:pt idx="23">
                  <c:v>39532.5</c:v>
                </c:pt>
                <c:pt idx="24">
                  <c:v>40162.5</c:v>
                </c:pt>
                <c:pt idx="25">
                  <c:v>40288.5</c:v>
                </c:pt>
                <c:pt idx="26">
                  <c:v>40288.5</c:v>
                </c:pt>
                <c:pt idx="27">
                  <c:v>40501</c:v>
                </c:pt>
                <c:pt idx="28">
                  <c:v>40514</c:v>
                </c:pt>
                <c:pt idx="29">
                  <c:v>40514</c:v>
                </c:pt>
                <c:pt idx="30">
                  <c:v>40519</c:v>
                </c:pt>
                <c:pt idx="31">
                  <c:v>40519</c:v>
                </c:pt>
                <c:pt idx="32">
                  <c:v>41287</c:v>
                </c:pt>
                <c:pt idx="33">
                  <c:v>41287</c:v>
                </c:pt>
                <c:pt idx="34">
                  <c:v>41287</c:v>
                </c:pt>
                <c:pt idx="35">
                  <c:v>41287.5</c:v>
                </c:pt>
                <c:pt idx="36">
                  <c:v>41287.5</c:v>
                </c:pt>
                <c:pt idx="37">
                  <c:v>41287.5</c:v>
                </c:pt>
                <c:pt idx="38">
                  <c:v>41349</c:v>
                </c:pt>
                <c:pt idx="39">
                  <c:v>42127</c:v>
                </c:pt>
                <c:pt idx="40">
                  <c:v>42140.5</c:v>
                </c:pt>
                <c:pt idx="41">
                  <c:v>42140.5</c:v>
                </c:pt>
                <c:pt idx="42">
                  <c:v>42958.5</c:v>
                </c:pt>
                <c:pt idx="43">
                  <c:v>42964</c:v>
                </c:pt>
                <c:pt idx="44">
                  <c:v>43048.5</c:v>
                </c:pt>
                <c:pt idx="45">
                  <c:v>43193.5</c:v>
                </c:pt>
                <c:pt idx="46">
                  <c:v>43194</c:v>
                </c:pt>
                <c:pt idx="47">
                  <c:v>43332.5</c:v>
                </c:pt>
                <c:pt idx="48">
                  <c:v>44113.5</c:v>
                </c:pt>
                <c:pt idx="49">
                  <c:v>44114</c:v>
                </c:pt>
                <c:pt idx="50">
                  <c:v>45092.5</c:v>
                </c:pt>
                <c:pt idx="51">
                  <c:v>45102.5</c:v>
                </c:pt>
                <c:pt idx="52">
                  <c:v>45223.5</c:v>
                </c:pt>
                <c:pt idx="53">
                  <c:v>46992</c:v>
                </c:pt>
                <c:pt idx="54">
                  <c:v>46996.5</c:v>
                </c:pt>
                <c:pt idx="55">
                  <c:v>48823.5</c:v>
                </c:pt>
                <c:pt idx="56">
                  <c:v>48874.5</c:v>
                </c:pt>
                <c:pt idx="57">
                  <c:v>48884.5</c:v>
                </c:pt>
                <c:pt idx="58">
                  <c:v>48885</c:v>
                </c:pt>
                <c:pt idx="59">
                  <c:v>48919</c:v>
                </c:pt>
                <c:pt idx="60">
                  <c:v>49697</c:v>
                </c:pt>
                <c:pt idx="61">
                  <c:v>49815.5</c:v>
                </c:pt>
                <c:pt idx="62">
                  <c:v>51680</c:v>
                </c:pt>
                <c:pt idx="63">
                  <c:v>51713.5</c:v>
                </c:pt>
                <c:pt idx="64">
                  <c:v>52440</c:v>
                </c:pt>
                <c:pt idx="65">
                  <c:v>52486</c:v>
                </c:pt>
                <c:pt idx="66">
                  <c:v>52499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-6.4765775733443623E-2</c:v>
                </c:pt>
                <c:pt idx="1">
                  <c:v>-6.4765033656114274E-2</c:v>
                </c:pt>
                <c:pt idx="2">
                  <c:v>-2.0117951135989007E-2</c:v>
                </c:pt>
                <c:pt idx="3">
                  <c:v>-1.9110952200065964E-2</c:v>
                </c:pt>
                <c:pt idx="4">
                  <c:v>-1.8805958417704598E-2</c:v>
                </c:pt>
                <c:pt idx="5">
                  <c:v>-1.8790374793788325E-2</c:v>
                </c:pt>
                <c:pt idx="6">
                  <c:v>-1.8707262132901532E-2</c:v>
                </c:pt>
                <c:pt idx="7">
                  <c:v>-1.7585241210929796E-2</c:v>
                </c:pt>
                <c:pt idx="8">
                  <c:v>-1.7352971006844381E-2</c:v>
                </c:pt>
                <c:pt idx="9">
                  <c:v>-1.6015005582032844E-2</c:v>
                </c:pt>
                <c:pt idx="10">
                  <c:v>-1.4813582385821047E-2</c:v>
                </c:pt>
                <c:pt idx="11">
                  <c:v>-1.3135745544168874E-2</c:v>
                </c:pt>
                <c:pt idx="12">
                  <c:v>-1.1576641075212113E-2</c:v>
                </c:pt>
                <c:pt idx="13">
                  <c:v>-8.8962577616129718E-3</c:v>
                </c:pt>
                <c:pt idx="14">
                  <c:v>-8.799045631468598E-3</c:v>
                </c:pt>
                <c:pt idx="15">
                  <c:v>-8.7983035541392487E-3</c:v>
                </c:pt>
                <c:pt idx="16">
                  <c:v>-6.508252915776308E-3</c:v>
                </c:pt>
                <c:pt idx="17">
                  <c:v>-6.4206877909134333E-3</c:v>
                </c:pt>
                <c:pt idx="18">
                  <c:v>-6.3257018927570935E-3</c:v>
                </c:pt>
                <c:pt idx="19">
                  <c:v>-6.3212494287810186E-3</c:v>
                </c:pt>
                <c:pt idx="20">
                  <c:v>-6.2225531439779463E-3</c:v>
                </c:pt>
                <c:pt idx="21">
                  <c:v>-6.1698656535943558E-3</c:v>
                </c:pt>
                <c:pt idx="22">
                  <c:v>-6.157992416324809E-3</c:v>
                </c:pt>
                <c:pt idx="23">
                  <c:v>-6.0934316886716786E-3</c:v>
                </c:pt>
                <c:pt idx="24">
                  <c:v>-5.1584142536952315E-3</c:v>
                </c:pt>
                <c:pt idx="25">
                  <c:v>-4.9714107666999421E-3</c:v>
                </c:pt>
                <c:pt idx="26">
                  <c:v>-4.9714107666999421E-3</c:v>
                </c:pt>
                <c:pt idx="27">
                  <c:v>-4.6560279017277273E-3</c:v>
                </c:pt>
                <c:pt idx="28">
                  <c:v>-4.6367338911647224E-3</c:v>
                </c:pt>
                <c:pt idx="29">
                  <c:v>-4.6367338911647224E-3</c:v>
                </c:pt>
                <c:pt idx="30">
                  <c:v>-4.6293131178712574E-3</c:v>
                </c:pt>
                <c:pt idx="31">
                  <c:v>-4.6293131178712574E-3</c:v>
                </c:pt>
                <c:pt idx="32">
                  <c:v>-3.4894823399952077E-3</c:v>
                </c:pt>
                <c:pt idx="33">
                  <c:v>-3.4894823399952077E-3</c:v>
                </c:pt>
                <c:pt idx="34">
                  <c:v>-3.4894823399952077E-3</c:v>
                </c:pt>
                <c:pt idx="35">
                  <c:v>-3.4887402626658653E-3</c:v>
                </c:pt>
                <c:pt idx="36">
                  <c:v>-3.4887402626658653E-3</c:v>
                </c:pt>
                <c:pt idx="37">
                  <c:v>-3.4887402626658653E-3</c:v>
                </c:pt>
                <c:pt idx="38">
                  <c:v>-3.3974647511562581E-3</c:v>
                </c:pt>
                <c:pt idx="39">
                  <c:v>-2.2427924266932853E-3</c:v>
                </c:pt>
                <c:pt idx="40">
                  <c:v>-2.2227563388009242E-3</c:v>
                </c:pt>
                <c:pt idx="41">
                  <c:v>-2.2227563388009242E-3</c:v>
                </c:pt>
                <c:pt idx="42">
                  <c:v>-1.0087178279902381E-3</c:v>
                </c:pt>
                <c:pt idx="43">
                  <c:v>-1.0005549773674377E-3</c:v>
                </c:pt>
                <c:pt idx="44">
                  <c:v>-8.7514390870789549E-4</c:v>
                </c:pt>
                <c:pt idx="45">
                  <c:v>-6.5994148319743762E-4</c:v>
                </c:pt>
                <c:pt idx="46">
                  <c:v>-6.5919940586810222E-4</c:v>
                </c:pt>
                <c:pt idx="47">
                  <c:v>-4.5364398563914332E-4</c:v>
                </c:pt>
                <c:pt idx="48">
                  <c:v>7.0548080279990433E-4</c:v>
                </c:pt>
                <c:pt idx="49">
                  <c:v>7.0622288012925361E-4</c:v>
                </c:pt>
                <c:pt idx="50">
                  <c:v>2.158468213660128E-3</c:v>
                </c:pt>
                <c:pt idx="51">
                  <c:v>2.173309760247058E-3</c:v>
                </c:pt>
                <c:pt idx="52">
                  <c:v>2.3528924739488755E-3</c:v>
                </c:pt>
                <c:pt idx="53">
                  <c:v>4.9776199878470428E-3</c:v>
                </c:pt>
                <c:pt idx="54">
                  <c:v>4.9842986838111586E-3</c:v>
                </c:pt>
                <c:pt idx="55">
                  <c:v>7.6958492452428584E-3</c:v>
                </c:pt>
                <c:pt idx="56">
                  <c:v>7.7715411328361794E-3</c:v>
                </c:pt>
                <c:pt idx="57">
                  <c:v>7.7863826794231095E-3</c:v>
                </c:pt>
                <c:pt idx="58">
                  <c:v>7.7871247567524587E-3</c:v>
                </c:pt>
                <c:pt idx="59">
                  <c:v>7.8375860151480153E-3</c:v>
                </c:pt>
                <c:pt idx="60">
                  <c:v>8.9922583396109951E-3</c:v>
                </c:pt>
                <c:pt idx="61">
                  <c:v>9.16813066666608E-3</c:v>
                </c:pt>
                <c:pt idx="62">
                  <c:v>1.1935337027798754E-2</c:v>
                </c:pt>
                <c:pt idx="63">
                  <c:v>1.1985056208864961E-2</c:v>
                </c:pt>
                <c:pt idx="64">
                  <c:v>1.3063294568405256E-2</c:v>
                </c:pt>
                <c:pt idx="65">
                  <c:v>1.3131565682705126E-2</c:v>
                </c:pt>
                <c:pt idx="66">
                  <c:v>1.3150859693268138E-2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56-4702-9694-1983AE0C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188448"/>
        <c:axId val="1"/>
      </c:scatterChart>
      <c:valAx>
        <c:axId val="586188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29360348648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186915887850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18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18412768497395"/>
          <c:y val="0.9204921861831491"/>
          <c:w val="0.6510913238648906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561975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A833038-9437-9C25-5215-8A3E5F3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26</xdr:col>
      <xdr:colOff>28575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EE11B39-3DBF-9B30-BC76-5F1548B9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konkoly.hu/cgi-bin/IBVS?5690" TargetMode="External"/><Relationship Id="rId25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603" TargetMode="External"/><Relationship Id="rId20" Type="http://schemas.openxmlformats.org/officeDocument/2006/relationships/hyperlink" Target="http://www.konkoly.hu/cgi-bin/IBVS?5741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var.astro.cz/oejv/issues/oejv0142.pdf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konkoly.hu/cgi-bin/IBVS?5894" TargetMode="External"/><Relationship Id="rId30" Type="http://schemas.openxmlformats.org/officeDocument/2006/relationships/hyperlink" Target="http://www.bav-astro.de/sfs/BAVM_link.php?BAVMnr=220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25</v>
      </c>
      <c r="B2" t="s">
        <v>46</v>
      </c>
    </row>
    <row r="3" spans="1:6" ht="13.5" thickBot="1" x14ac:dyDescent="0.25">
      <c r="C3" s="11" t="s">
        <v>43</v>
      </c>
    </row>
    <row r="4" spans="1:6" ht="14.25" thickTop="1" thickBot="1" x14ac:dyDescent="0.25">
      <c r="A4" s="7" t="s">
        <v>1</v>
      </c>
      <c r="C4" s="3">
        <v>36598.610999999997</v>
      </c>
      <c r="D4" s="4">
        <v>0.38900000000000001</v>
      </c>
    </row>
    <row r="5" spans="1:6" ht="13.5" thickTop="1" x14ac:dyDescent="0.2">
      <c r="A5" s="17" t="s">
        <v>59</v>
      </c>
      <c r="B5" s="12"/>
      <c r="C5" s="18">
        <v>-9.5</v>
      </c>
      <c r="D5" s="12" t="s">
        <v>60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36598.610999999997</v>
      </c>
    </row>
    <row r="8" spans="1:6" x14ac:dyDescent="0.2">
      <c r="A8" t="s">
        <v>4</v>
      </c>
      <c r="C8" s="10">
        <v>0.38921729999999999</v>
      </c>
      <c r="D8" t="s">
        <v>42</v>
      </c>
    </row>
    <row r="9" spans="1:6" x14ac:dyDescent="0.2">
      <c r="A9" s="33" t="s">
        <v>68</v>
      </c>
      <c r="B9" s="34">
        <v>65</v>
      </c>
      <c r="C9" s="31" t="str">
        <f>"F"&amp;B9</f>
        <v>F65</v>
      </c>
      <c r="D9" s="32" t="str">
        <f>"G"&amp;B9</f>
        <v>G65</v>
      </c>
    </row>
    <row r="10" spans="1:6" ht="13.5" thickBot="1" x14ac:dyDescent="0.25">
      <c r="A10" s="12"/>
      <c r="B10" s="12"/>
      <c r="C10" s="6" t="s">
        <v>21</v>
      </c>
      <c r="D10" s="6" t="s">
        <v>22</v>
      </c>
      <c r="E10" s="12"/>
    </row>
    <row r="11" spans="1:6" x14ac:dyDescent="0.2">
      <c r="A11" s="12" t="s">
        <v>17</v>
      </c>
      <c r="B11" s="12"/>
      <c r="C11" s="30">
        <f ca="1">INTERCEPT(INDIRECT($D$9):G987,INDIRECT($C$9):F987)</f>
        <v>-6.4765775733443623E-2</v>
      </c>
      <c r="D11" s="5"/>
      <c r="E11" s="12"/>
    </row>
    <row r="12" spans="1:6" x14ac:dyDescent="0.2">
      <c r="A12" s="12" t="s">
        <v>18</v>
      </c>
      <c r="B12" s="12"/>
      <c r="C12" s="30">
        <f ca="1">SLOPE(INDIRECT($D$9):G987,INDIRECT($C$9):F987)</f>
        <v>1.4841546586927704E-6</v>
      </c>
      <c r="D12" s="5"/>
      <c r="E12" s="12"/>
    </row>
    <row r="13" spans="1:6" x14ac:dyDescent="0.2">
      <c r="A13" s="12" t="s">
        <v>20</v>
      </c>
      <c r="B13" s="12"/>
      <c r="C13" s="5" t="s">
        <v>15</v>
      </c>
    </row>
    <row r="14" spans="1:6" x14ac:dyDescent="0.2">
      <c r="A14" s="12"/>
      <c r="B14" s="12"/>
      <c r="C14" s="12"/>
    </row>
    <row r="15" spans="1:6" x14ac:dyDescent="0.2">
      <c r="A15" s="19" t="s">
        <v>19</v>
      </c>
      <c r="B15" s="12"/>
      <c r="C15" s="20">
        <f ca="1">(C7+C11)+(C8+C12)*INT(MAX(F21:F3528))</f>
        <v>57032.143183559689</v>
      </c>
      <c r="E15" s="21" t="s">
        <v>69</v>
      </c>
      <c r="F15" s="18">
        <v>1</v>
      </c>
    </row>
    <row r="16" spans="1:6" x14ac:dyDescent="0.2">
      <c r="A16" s="23" t="s">
        <v>5</v>
      </c>
      <c r="B16" s="12"/>
      <c r="C16" s="24">
        <f ca="1">+C8+C12</f>
        <v>0.38921878415465866</v>
      </c>
      <c r="E16" s="21" t="s">
        <v>61</v>
      </c>
      <c r="F16" s="22">
        <f ca="1">NOW()+15018.5+$C$5/24</f>
        <v>60338.682966319444</v>
      </c>
    </row>
    <row r="17" spans="1:32" ht="13.5" thickBot="1" x14ac:dyDescent="0.25">
      <c r="A17" s="21" t="s">
        <v>56</v>
      </c>
      <c r="B17" s="12"/>
      <c r="C17" s="12">
        <f>COUNT(C21:C2186)</f>
        <v>67</v>
      </c>
      <c r="E17" s="21" t="s">
        <v>70</v>
      </c>
      <c r="F17" s="22">
        <f ca="1">ROUND(2*(F16-$C$7)/$C$8,0)/2+F15</f>
        <v>60995.5</v>
      </c>
    </row>
    <row r="18" spans="1:32" ht="14.25" thickTop="1" thickBot="1" x14ac:dyDescent="0.25">
      <c r="A18" s="23" t="s">
        <v>6</v>
      </c>
      <c r="B18" s="12"/>
      <c r="C18" s="26">
        <f ca="1">+C15</f>
        <v>57032.143183559689</v>
      </c>
      <c r="D18" s="27">
        <f ca="1">+C16</f>
        <v>0.38921878415465866</v>
      </c>
      <c r="E18" s="21" t="s">
        <v>62</v>
      </c>
      <c r="F18" s="32">
        <f ca="1">ROUND(2*(F16-$C$15)/$C$16,0)/2+F15</f>
        <v>8496.5</v>
      </c>
    </row>
    <row r="19" spans="1:32" ht="13.5" thickTop="1" x14ac:dyDescent="0.2">
      <c r="E19" s="21" t="s">
        <v>63</v>
      </c>
      <c r="F19" s="25">
        <f ca="1">+$C$15+$C$16*F18-15018.5-$C$5/24</f>
        <v>45321.036416463081</v>
      </c>
    </row>
    <row r="20" spans="1:32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85</v>
      </c>
      <c r="I20" s="9" t="s">
        <v>88</v>
      </c>
      <c r="J20" s="9" t="s">
        <v>82</v>
      </c>
      <c r="K20" s="9" t="s">
        <v>80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32" x14ac:dyDescent="0.2">
      <c r="A21" t="s">
        <v>13</v>
      </c>
      <c r="B21" s="5"/>
      <c r="C21" s="13">
        <v>36598.610999999997</v>
      </c>
      <c r="D21" s="14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-6.4765775733443623E-2</v>
      </c>
      <c r="Q21" s="2">
        <f t="shared" ref="Q21:Q52" si="4">+C21-15018.5</f>
        <v>21580.110999999997</v>
      </c>
    </row>
    <row r="22" spans="1:32" x14ac:dyDescent="0.2">
      <c r="A22" t="s">
        <v>42</v>
      </c>
      <c r="B22" s="5"/>
      <c r="C22" s="15">
        <v>36598.8056</v>
      </c>
      <c r="D22" s="14"/>
      <c r="E22">
        <f t="shared" si="0"/>
        <v>0.49997777591730341</v>
      </c>
      <c r="F22">
        <f t="shared" si="1"/>
        <v>0.5</v>
      </c>
      <c r="G22">
        <f t="shared" si="2"/>
        <v>-8.6500003817491233E-6</v>
      </c>
      <c r="I22">
        <f t="shared" ref="I22:I34" si="5">+G22</f>
        <v>-8.6500003817491233E-6</v>
      </c>
      <c r="O22">
        <f t="shared" ca="1" si="3"/>
        <v>-6.4765033656114274E-2</v>
      </c>
      <c r="Q22" s="2">
        <f t="shared" si="4"/>
        <v>21580.3056</v>
      </c>
    </row>
    <row r="23" spans="1:32" x14ac:dyDescent="0.2">
      <c r="A23" t="s">
        <v>30</v>
      </c>
      <c r="B23" s="5"/>
      <c r="C23" s="13">
        <v>48307.434999999998</v>
      </c>
      <c r="D23" s="16">
        <v>7.0000000000000001E-3</v>
      </c>
      <c r="E23">
        <f t="shared" si="0"/>
        <v>30082.999907763609</v>
      </c>
      <c r="F23">
        <f t="shared" si="1"/>
        <v>30083</v>
      </c>
      <c r="G23">
        <f t="shared" si="2"/>
        <v>-3.5899996873922646E-5</v>
      </c>
      <c r="I23">
        <f t="shared" si="5"/>
        <v>-3.5899996873922646E-5</v>
      </c>
      <c r="O23">
        <f t="shared" ca="1" si="3"/>
        <v>-2.0117951135989007E-2</v>
      </c>
      <c r="Q23" s="2">
        <f t="shared" si="4"/>
        <v>33288.934999999998</v>
      </c>
      <c r="AB23">
        <v>35</v>
      </c>
      <c r="AD23" t="s">
        <v>29</v>
      </c>
      <c r="AF23" t="s">
        <v>31</v>
      </c>
    </row>
    <row r="24" spans="1:32" x14ac:dyDescent="0.2">
      <c r="A24" t="s">
        <v>33</v>
      </c>
      <c r="B24" s="5" t="s">
        <v>41</v>
      </c>
      <c r="C24" s="13">
        <v>48571.517</v>
      </c>
      <c r="D24" s="16">
        <v>7.0000000000000001E-3</v>
      </c>
      <c r="E24">
        <f t="shared" si="0"/>
        <v>30761.494928411463</v>
      </c>
      <c r="F24">
        <f t="shared" si="1"/>
        <v>30761.5</v>
      </c>
      <c r="G24">
        <f t="shared" si="2"/>
        <v>-1.9739499985007569E-3</v>
      </c>
      <c r="I24">
        <f t="shared" si="5"/>
        <v>-1.9739499985007569E-3</v>
      </c>
      <c r="O24">
        <f t="shared" ca="1" si="3"/>
        <v>-1.9110952200065964E-2</v>
      </c>
      <c r="Q24" s="2">
        <f t="shared" si="4"/>
        <v>33553.017</v>
      </c>
      <c r="AA24" t="s">
        <v>32</v>
      </c>
      <c r="AB24">
        <v>8</v>
      </c>
      <c r="AD24" t="s">
        <v>29</v>
      </c>
      <c r="AF24" t="s">
        <v>31</v>
      </c>
    </row>
    <row r="25" spans="1:32" x14ac:dyDescent="0.2">
      <c r="A25" t="s">
        <v>33</v>
      </c>
      <c r="B25" s="5"/>
      <c r="C25" s="13">
        <v>48651.500999999997</v>
      </c>
      <c r="D25" s="16">
        <v>5.0000000000000001E-3</v>
      </c>
      <c r="E25">
        <f t="shared" si="0"/>
        <v>30966.99452979094</v>
      </c>
      <c r="F25">
        <f t="shared" si="1"/>
        <v>30967</v>
      </c>
      <c r="G25">
        <f t="shared" si="2"/>
        <v>-2.1291000011842698E-3</v>
      </c>
      <c r="I25">
        <f t="shared" si="5"/>
        <v>-2.1291000011842698E-3</v>
      </c>
      <c r="O25">
        <f t="shared" ca="1" si="3"/>
        <v>-1.8805958417704598E-2</v>
      </c>
      <c r="Q25" s="2">
        <f t="shared" si="4"/>
        <v>33633.000999999997</v>
      </c>
      <c r="AA25" t="s">
        <v>32</v>
      </c>
      <c r="AB25">
        <v>13</v>
      </c>
      <c r="AD25" t="s">
        <v>29</v>
      </c>
      <c r="AF25" t="s">
        <v>31</v>
      </c>
    </row>
    <row r="26" spans="1:32" x14ac:dyDescent="0.2">
      <c r="A26" t="s">
        <v>33</v>
      </c>
      <c r="B26" s="5" t="s">
        <v>41</v>
      </c>
      <c r="C26" s="13">
        <v>48655.595000000001</v>
      </c>
      <c r="D26" s="16">
        <v>5.0000000000000001E-3</v>
      </c>
      <c r="E26">
        <f t="shared" si="0"/>
        <v>30977.513075600709</v>
      </c>
      <c r="F26">
        <f t="shared" si="1"/>
        <v>30977.5</v>
      </c>
      <c r="G26">
        <f t="shared" si="2"/>
        <v>5.0892500003101304E-3</v>
      </c>
      <c r="I26">
        <f t="shared" si="5"/>
        <v>5.0892500003101304E-3</v>
      </c>
      <c r="O26">
        <f t="shared" ca="1" si="3"/>
        <v>-1.8790374793788325E-2</v>
      </c>
      <c r="Q26" s="2">
        <f t="shared" si="4"/>
        <v>33637.095000000001</v>
      </c>
      <c r="AA26" t="s">
        <v>32</v>
      </c>
      <c r="AB26">
        <v>15</v>
      </c>
      <c r="AD26" t="s">
        <v>29</v>
      </c>
      <c r="AF26" t="s">
        <v>31</v>
      </c>
    </row>
    <row r="27" spans="1:32" x14ac:dyDescent="0.2">
      <c r="A27" t="s">
        <v>33</v>
      </c>
      <c r="B27" s="5" t="s">
        <v>41</v>
      </c>
      <c r="C27" s="13">
        <v>48677.385000000002</v>
      </c>
      <c r="D27" s="16">
        <v>5.0000000000000001E-3</v>
      </c>
      <c r="E27">
        <f t="shared" si="0"/>
        <v>31033.497226356601</v>
      </c>
      <c r="F27">
        <f t="shared" si="1"/>
        <v>31033.5</v>
      </c>
      <c r="G27">
        <f t="shared" si="2"/>
        <v>-1.079549991118256E-3</v>
      </c>
      <c r="I27">
        <f t="shared" si="5"/>
        <v>-1.079549991118256E-3</v>
      </c>
      <c r="O27">
        <f t="shared" ca="1" si="3"/>
        <v>-1.8707262132901532E-2</v>
      </c>
      <c r="Q27" s="2">
        <f t="shared" si="4"/>
        <v>33658.885000000002</v>
      </c>
      <c r="AA27" t="s">
        <v>32</v>
      </c>
      <c r="AB27">
        <v>12</v>
      </c>
      <c r="AD27" t="s">
        <v>29</v>
      </c>
      <c r="AF27" t="s">
        <v>31</v>
      </c>
    </row>
    <row r="28" spans="1:32" x14ac:dyDescent="0.2">
      <c r="A28" t="s">
        <v>34</v>
      </c>
      <c r="B28" s="5" t="s">
        <v>41</v>
      </c>
      <c r="C28" s="13">
        <v>48971.64</v>
      </c>
      <c r="D28" s="16">
        <v>8.0000000000000002E-3</v>
      </c>
      <c r="E28">
        <f t="shared" si="0"/>
        <v>31789.514494859304</v>
      </c>
      <c r="F28">
        <f t="shared" si="1"/>
        <v>31789.5</v>
      </c>
      <c r="G28">
        <f t="shared" si="2"/>
        <v>5.641650001052767E-3</v>
      </c>
      <c r="I28">
        <f t="shared" si="5"/>
        <v>5.641650001052767E-3</v>
      </c>
      <c r="O28">
        <f t="shared" ca="1" si="3"/>
        <v>-1.7585241210929796E-2</v>
      </c>
      <c r="Q28" s="2">
        <f t="shared" si="4"/>
        <v>33953.14</v>
      </c>
      <c r="AA28" t="s">
        <v>32</v>
      </c>
      <c r="AB28">
        <v>24</v>
      </c>
      <c r="AD28" t="s">
        <v>29</v>
      </c>
      <c r="AF28" t="s">
        <v>31</v>
      </c>
    </row>
    <row r="29" spans="1:32" x14ac:dyDescent="0.2">
      <c r="A29" t="s">
        <v>34</v>
      </c>
      <c r="B29" s="5"/>
      <c r="C29" s="13">
        <v>49032.55</v>
      </c>
      <c r="D29" s="16">
        <v>5.0000000000000001E-3</v>
      </c>
      <c r="E29">
        <f t="shared" si="0"/>
        <v>31946.008052571164</v>
      </c>
      <c r="F29">
        <f t="shared" si="1"/>
        <v>31946</v>
      </c>
      <c r="G29">
        <f t="shared" si="2"/>
        <v>3.1342000074801035E-3</v>
      </c>
      <c r="I29">
        <f t="shared" si="5"/>
        <v>3.1342000074801035E-3</v>
      </c>
      <c r="O29">
        <f t="shared" ca="1" si="3"/>
        <v>-1.7352971006844381E-2</v>
      </c>
      <c r="Q29" s="2">
        <f t="shared" si="4"/>
        <v>34014.050000000003</v>
      </c>
      <c r="AA29" t="s">
        <v>32</v>
      </c>
      <c r="AB29">
        <v>16</v>
      </c>
      <c r="AD29" t="s">
        <v>29</v>
      </c>
      <c r="AF29" t="s">
        <v>31</v>
      </c>
    </row>
    <row r="30" spans="1:32" x14ac:dyDescent="0.2">
      <c r="A30" t="s">
        <v>35</v>
      </c>
      <c r="B30" s="5" t="s">
        <v>41</v>
      </c>
      <c r="C30" s="13">
        <v>49383.415000000001</v>
      </c>
      <c r="D30" s="16"/>
      <c r="E30">
        <f t="shared" si="0"/>
        <v>32847.471065648941</v>
      </c>
      <c r="F30">
        <f t="shared" si="1"/>
        <v>32847.5</v>
      </c>
      <c r="G30">
        <f t="shared" si="2"/>
        <v>-1.1261749998084269E-2</v>
      </c>
      <c r="I30">
        <f t="shared" si="5"/>
        <v>-1.1261749998084269E-2</v>
      </c>
      <c r="O30">
        <f t="shared" ca="1" si="3"/>
        <v>-1.6015005582032844E-2</v>
      </c>
      <c r="Q30" s="2">
        <f t="shared" si="4"/>
        <v>34364.915000000001</v>
      </c>
      <c r="AA30" t="s">
        <v>32</v>
      </c>
      <c r="AB30">
        <v>10</v>
      </c>
      <c r="AD30" t="s">
        <v>29</v>
      </c>
      <c r="AF30" t="s">
        <v>31</v>
      </c>
    </row>
    <row r="31" spans="1:32" x14ac:dyDescent="0.2">
      <c r="A31" t="s">
        <v>37</v>
      </c>
      <c r="B31" s="5"/>
      <c r="C31" s="13">
        <v>49698.500999999997</v>
      </c>
      <c r="D31" s="16">
        <v>3.0000000000000001E-3</v>
      </c>
      <c r="E31">
        <f t="shared" si="0"/>
        <v>33657.008565652141</v>
      </c>
      <c r="F31">
        <f t="shared" si="1"/>
        <v>33657</v>
      </c>
      <c r="G31">
        <f t="shared" si="2"/>
        <v>3.3339000001433305E-3</v>
      </c>
      <c r="I31">
        <f t="shared" si="5"/>
        <v>3.3339000001433305E-3</v>
      </c>
      <c r="O31">
        <f t="shared" ca="1" si="3"/>
        <v>-1.4813582385821047E-2</v>
      </c>
      <c r="Q31" s="2">
        <f t="shared" si="4"/>
        <v>34680.000999999997</v>
      </c>
      <c r="AA31" t="s">
        <v>36</v>
      </c>
      <c r="AB31">
        <v>14</v>
      </c>
      <c r="AD31" t="s">
        <v>29</v>
      </c>
      <c r="AF31" t="s">
        <v>31</v>
      </c>
    </row>
    <row r="32" spans="1:32" x14ac:dyDescent="0.2">
      <c r="A32" t="s">
        <v>39</v>
      </c>
      <c r="B32" s="5" t="s">
        <v>41</v>
      </c>
      <c r="C32" s="13">
        <v>50138.508999999998</v>
      </c>
      <c r="D32" s="16">
        <v>5.0000000000000001E-3</v>
      </c>
      <c r="E32">
        <f t="shared" si="0"/>
        <v>34787.50302209075</v>
      </c>
      <c r="F32">
        <f t="shared" si="1"/>
        <v>34787.5</v>
      </c>
      <c r="G32">
        <f t="shared" si="2"/>
        <v>1.1762499998440035E-3</v>
      </c>
      <c r="I32">
        <f t="shared" si="5"/>
        <v>1.1762499998440035E-3</v>
      </c>
      <c r="O32">
        <f t="shared" ca="1" si="3"/>
        <v>-1.3135745544168874E-2</v>
      </c>
      <c r="Q32" s="2">
        <f t="shared" si="4"/>
        <v>35120.008999999998</v>
      </c>
      <c r="AA32" t="s">
        <v>38</v>
      </c>
      <c r="AB32">
        <v>14</v>
      </c>
      <c r="AD32" t="s">
        <v>29</v>
      </c>
      <c r="AF32" t="s">
        <v>31</v>
      </c>
    </row>
    <row r="33" spans="1:32" x14ac:dyDescent="0.2">
      <c r="A33" t="s">
        <v>40</v>
      </c>
      <c r="B33" s="5"/>
      <c r="C33" s="13">
        <v>50547.381999999998</v>
      </c>
      <c r="D33" s="16">
        <v>5.0000000000000001E-3</v>
      </c>
      <c r="E33">
        <f t="shared" si="0"/>
        <v>35838.003603642494</v>
      </c>
      <c r="F33">
        <f t="shared" si="1"/>
        <v>35838</v>
      </c>
      <c r="G33">
        <f t="shared" si="2"/>
        <v>1.4025999989826232E-3</v>
      </c>
      <c r="I33">
        <f t="shared" si="5"/>
        <v>1.4025999989826232E-3</v>
      </c>
      <c r="O33">
        <f t="shared" ca="1" si="3"/>
        <v>-1.1576641075212113E-2</v>
      </c>
      <c r="Q33" s="2">
        <f t="shared" si="4"/>
        <v>35528.881999999998</v>
      </c>
      <c r="AA33" t="s">
        <v>38</v>
      </c>
      <c r="AB33">
        <v>21</v>
      </c>
      <c r="AD33" t="s">
        <v>29</v>
      </c>
      <c r="AF33" t="s">
        <v>31</v>
      </c>
    </row>
    <row r="34" spans="1:32" x14ac:dyDescent="0.2">
      <c r="A34" t="s">
        <v>55</v>
      </c>
      <c r="B34" s="5"/>
      <c r="C34" s="13">
        <v>51250.307999999997</v>
      </c>
      <c r="D34" s="16"/>
      <c r="E34">
        <f t="shared" si="0"/>
        <v>37644.002463405406</v>
      </c>
      <c r="F34">
        <f t="shared" si="1"/>
        <v>37644</v>
      </c>
      <c r="G34">
        <f t="shared" si="2"/>
        <v>9.5880000299075618E-4</v>
      </c>
      <c r="I34">
        <f t="shared" si="5"/>
        <v>9.5880000299075618E-4</v>
      </c>
      <c r="O34">
        <f t="shared" ca="1" si="3"/>
        <v>-8.8962577616129718E-3</v>
      </c>
      <c r="Q34" s="2">
        <f t="shared" si="4"/>
        <v>36231.807999999997</v>
      </c>
    </row>
    <row r="35" spans="1:32" x14ac:dyDescent="0.2">
      <c r="A35" s="35" t="s">
        <v>52</v>
      </c>
      <c r="B35" s="36" t="s">
        <v>53</v>
      </c>
      <c r="C35" s="37">
        <v>51275.792300000001</v>
      </c>
      <c r="D35" s="35"/>
      <c r="E35">
        <f t="shared" si="0"/>
        <v>37709.478227201114</v>
      </c>
      <c r="F35">
        <f t="shared" si="1"/>
        <v>37709.5</v>
      </c>
      <c r="G35">
        <f t="shared" si="2"/>
        <v>-8.4743499974138103E-3</v>
      </c>
      <c r="K35">
        <f>+G35</f>
        <v>-8.4743499974138103E-3</v>
      </c>
      <c r="O35">
        <f t="shared" ca="1" si="3"/>
        <v>-8.799045631468598E-3</v>
      </c>
      <c r="Q35" s="2">
        <f t="shared" si="4"/>
        <v>36257.292300000001</v>
      </c>
    </row>
    <row r="36" spans="1:32" x14ac:dyDescent="0.2">
      <c r="A36" s="35" t="s">
        <v>52</v>
      </c>
      <c r="B36" s="36" t="s">
        <v>54</v>
      </c>
      <c r="C36" s="37">
        <v>51275.983800000002</v>
      </c>
      <c r="D36" s="35"/>
      <c r="E36">
        <f t="shared" si="0"/>
        <v>37709.970240274532</v>
      </c>
      <c r="F36">
        <f t="shared" si="1"/>
        <v>37710</v>
      </c>
      <c r="G36">
        <f t="shared" si="2"/>
        <v>-1.1582999992242549E-2</v>
      </c>
      <c r="K36">
        <f>+G36</f>
        <v>-1.1582999992242549E-2</v>
      </c>
      <c r="O36">
        <f t="shared" ca="1" si="3"/>
        <v>-8.7983035541392487E-3</v>
      </c>
      <c r="Q36" s="2">
        <f t="shared" si="4"/>
        <v>36257.483800000002</v>
      </c>
    </row>
    <row r="37" spans="1:32" x14ac:dyDescent="0.2">
      <c r="A37" s="35" t="s">
        <v>45</v>
      </c>
      <c r="B37" s="38" t="s">
        <v>44</v>
      </c>
      <c r="C37" s="39">
        <v>51876.555899999999</v>
      </c>
      <c r="D37" s="40">
        <v>4.1999999999999997E-3</v>
      </c>
      <c r="E37">
        <f t="shared" si="0"/>
        <v>39252.995434683922</v>
      </c>
      <c r="F37">
        <f t="shared" si="1"/>
        <v>39253</v>
      </c>
      <c r="G37">
        <f t="shared" si="2"/>
        <v>-1.7768999969121069E-3</v>
      </c>
      <c r="K37">
        <f>+G37</f>
        <v>-1.7768999969121069E-3</v>
      </c>
      <c r="O37">
        <f t="shared" ca="1" si="3"/>
        <v>-6.508252915776308E-3</v>
      </c>
      <c r="Q37" s="2">
        <f t="shared" si="4"/>
        <v>36858.055899999999</v>
      </c>
    </row>
    <row r="38" spans="1:32" x14ac:dyDescent="0.2">
      <c r="A38" s="41" t="s">
        <v>67</v>
      </c>
      <c r="B38" s="42" t="s">
        <v>44</v>
      </c>
      <c r="C38" s="41">
        <v>51899.52809</v>
      </c>
      <c r="D38" s="41">
        <v>8.9999999999999998E-4</v>
      </c>
      <c r="E38">
        <f t="shared" si="0"/>
        <v>39312.016937582179</v>
      </c>
      <c r="F38">
        <f t="shared" si="1"/>
        <v>39312</v>
      </c>
      <c r="G38">
        <f t="shared" si="2"/>
        <v>6.5924000009545125E-3</v>
      </c>
      <c r="K38">
        <f>+G38</f>
        <v>6.5924000009545125E-3</v>
      </c>
      <c r="O38">
        <f t="shared" ca="1" si="3"/>
        <v>-6.4206877909134333E-3</v>
      </c>
      <c r="Q38" s="2">
        <f t="shared" si="4"/>
        <v>36881.02809</v>
      </c>
    </row>
    <row r="39" spans="1:32" x14ac:dyDescent="0.2">
      <c r="A39" s="35" t="s">
        <v>45</v>
      </c>
      <c r="B39" s="38" t="s">
        <v>44</v>
      </c>
      <c r="C39" s="39">
        <v>51924.432099999998</v>
      </c>
      <c r="D39" s="40">
        <v>1.1999999999999999E-3</v>
      </c>
      <c r="E39">
        <f t="shared" si="0"/>
        <v>39376.001786148772</v>
      </c>
      <c r="F39">
        <f t="shared" si="1"/>
        <v>39376</v>
      </c>
      <c r="G39">
        <f t="shared" si="2"/>
        <v>6.9520000397460535E-4</v>
      </c>
      <c r="K39">
        <f>+G39</f>
        <v>6.9520000397460535E-4</v>
      </c>
      <c r="O39">
        <f t="shared" ca="1" si="3"/>
        <v>-6.3257018927570935E-3</v>
      </c>
      <c r="Q39" s="2">
        <f t="shared" si="4"/>
        <v>36905.932099999998</v>
      </c>
    </row>
    <row r="40" spans="1:32" x14ac:dyDescent="0.2">
      <c r="A40" s="35" t="s">
        <v>49</v>
      </c>
      <c r="B40" s="36"/>
      <c r="C40" s="37">
        <v>51925.597999999998</v>
      </c>
      <c r="D40" s="35"/>
      <c r="E40">
        <f t="shared" si="0"/>
        <v>39378.997285064157</v>
      </c>
      <c r="F40">
        <f t="shared" si="1"/>
        <v>39379</v>
      </c>
      <c r="G40">
        <f t="shared" si="2"/>
        <v>-1.0566999990260229E-3</v>
      </c>
      <c r="I40">
        <f>+G40</f>
        <v>-1.0566999990260229E-3</v>
      </c>
      <c r="O40">
        <f t="shared" ca="1" si="3"/>
        <v>-6.3212494287810186E-3</v>
      </c>
      <c r="Q40" s="2">
        <f t="shared" si="4"/>
        <v>36907.097999999998</v>
      </c>
    </row>
    <row r="41" spans="1:32" x14ac:dyDescent="0.2">
      <c r="A41" s="35" t="s">
        <v>50</v>
      </c>
      <c r="B41" s="36"/>
      <c r="C41" s="37">
        <v>51951.480100000001</v>
      </c>
      <c r="D41" s="35"/>
      <c r="E41">
        <f t="shared" si="0"/>
        <v>39445.495100037959</v>
      </c>
      <c r="F41">
        <f t="shared" si="1"/>
        <v>39445.5</v>
      </c>
      <c r="G41">
        <f t="shared" si="2"/>
        <v>-1.9071499991696328E-3</v>
      </c>
      <c r="K41">
        <f t="shared" ref="K41:K58" si="6">+G41</f>
        <v>-1.9071499991696328E-3</v>
      </c>
      <c r="O41">
        <f t="shared" ca="1" si="3"/>
        <v>-6.2225531439779463E-3</v>
      </c>
      <c r="Q41" s="2">
        <f t="shared" si="4"/>
        <v>36932.980100000001</v>
      </c>
    </row>
    <row r="42" spans="1:32" x14ac:dyDescent="0.2">
      <c r="A42" s="35" t="s">
        <v>45</v>
      </c>
      <c r="B42" s="38" t="s">
        <v>44</v>
      </c>
      <c r="C42" s="39">
        <v>51965.298999999999</v>
      </c>
      <c r="D42" s="40">
        <v>1.8E-3</v>
      </c>
      <c r="E42">
        <f t="shared" si="0"/>
        <v>39480.999431423021</v>
      </c>
      <c r="F42">
        <f t="shared" si="1"/>
        <v>39481</v>
      </c>
      <c r="G42">
        <f t="shared" si="2"/>
        <v>-2.212999970652163E-4</v>
      </c>
      <c r="K42">
        <f t="shared" si="6"/>
        <v>-2.212999970652163E-4</v>
      </c>
      <c r="O42">
        <f t="shared" ca="1" si="3"/>
        <v>-6.1698656535943558E-3</v>
      </c>
      <c r="Q42" s="2">
        <f t="shared" si="4"/>
        <v>36946.798999999999</v>
      </c>
    </row>
    <row r="43" spans="1:32" x14ac:dyDescent="0.2">
      <c r="A43" s="41" t="s">
        <v>67</v>
      </c>
      <c r="B43" s="42" t="s">
        <v>44</v>
      </c>
      <c r="C43" s="41">
        <v>51968.412470000003</v>
      </c>
      <c r="D43" s="41">
        <v>3.3999999999999998E-3</v>
      </c>
      <c r="E43">
        <f t="shared" si="0"/>
        <v>39488.998741833951</v>
      </c>
      <c r="F43">
        <f t="shared" si="1"/>
        <v>39489</v>
      </c>
      <c r="G43">
        <f t="shared" si="2"/>
        <v>-4.8969999625114724E-4</v>
      </c>
      <c r="K43">
        <f t="shared" si="6"/>
        <v>-4.8969999625114724E-4</v>
      </c>
      <c r="O43">
        <f t="shared" ca="1" si="3"/>
        <v>-6.157992416324809E-3</v>
      </c>
      <c r="Q43" s="2">
        <f t="shared" si="4"/>
        <v>36949.912470000003</v>
      </c>
    </row>
    <row r="44" spans="1:32" x14ac:dyDescent="0.2">
      <c r="A44" s="35" t="s">
        <v>45</v>
      </c>
      <c r="B44" s="38" t="s">
        <v>41</v>
      </c>
      <c r="C44" s="39">
        <v>51985.342799999999</v>
      </c>
      <c r="D44" s="40">
        <v>3.8999999999999998E-3</v>
      </c>
      <c r="E44">
        <f t="shared" si="0"/>
        <v>39532.497142341825</v>
      </c>
      <c r="F44">
        <f t="shared" si="1"/>
        <v>39532.5</v>
      </c>
      <c r="G44">
        <f t="shared" si="2"/>
        <v>-1.1122500000055879E-3</v>
      </c>
      <c r="K44">
        <f t="shared" si="6"/>
        <v>-1.1122500000055879E-3</v>
      </c>
      <c r="O44">
        <f t="shared" ca="1" si="3"/>
        <v>-6.0934316886716786E-3</v>
      </c>
      <c r="Q44" s="2">
        <f t="shared" si="4"/>
        <v>36966.842799999999</v>
      </c>
    </row>
    <row r="45" spans="1:32" x14ac:dyDescent="0.2">
      <c r="A45" s="41" t="s">
        <v>67</v>
      </c>
      <c r="B45" s="42" t="s">
        <v>41</v>
      </c>
      <c r="C45" s="41">
        <v>52230.552129999996</v>
      </c>
      <c r="D45" s="41">
        <v>1.4E-3</v>
      </c>
      <c r="E45">
        <f t="shared" si="0"/>
        <v>40162.503388210134</v>
      </c>
      <c r="F45">
        <f t="shared" si="1"/>
        <v>40162.5</v>
      </c>
      <c r="G45">
        <f t="shared" si="2"/>
        <v>1.3187500007916242E-3</v>
      </c>
      <c r="K45">
        <f t="shared" si="6"/>
        <v>1.3187500007916242E-3</v>
      </c>
      <c r="O45">
        <f t="shared" ca="1" si="3"/>
        <v>-5.1584142536952315E-3</v>
      </c>
      <c r="Q45" s="2">
        <f t="shared" si="4"/>
        <v>37212.052129999996</v>
      </c>
    </row>
    <row r="46" spans="1:32" x14ac:dyDescent="0.2">
      <c r="A46" s="35" t="s">
        <v>45</v>
      </c>
      <c r="B46" s="38" t="s">
        <v>41</v>
      </c>
      <c r="C46" s="39">
        <v>52279.591500000002</v>
      </c>
      <c r="D46" s="40">
        <v>2.2000000000000001E-3</v>
      </c>
      <c r="E46">
        <f t="shared" si="0"/>
        <v>40288.498224513671</v>
      </c>
      <c r="F46">
        <f t="shared" si="1"/>
        <v>40288.5</v>
      </c>
      <c r="G46">
        <f t="shared" si="2"/>
        <v>-6.9104999420233071E-4</v>
      </c>
      <c r="K46">
        <f t="shared" si="6"/>
        <v>-6.9104999420233071E-4</v>
      </c>
      <c r="O46">
        <f t="shared" ca="1" si="3"/>
        <v>-4.9714107666999421E-3</v>
      </c>
      <c r="Q46" s="2">
        <f t="shared" si="4"/>
        <v>37261.091500000002</v>
      </c>
    </row>
    <row r="47" spans="1:32" x14ac:dyDescent="0.2">
      <c r="A47" s="35" t="s">
        <v>45</v>
      </c>
      <c r="B47" s="38" t="s">
        <v>41</v>
      </c>
      <c r="C47" s="39">
        <v>52279.591699999997</v>
      </c>
      <c r="D47" s="40">
        <v>5.4000000000000003E-3</v>
      </c>
      <c r="E47">
        <f t="shared" si="0"/>
        <v>40288.498738365437</v>
      </c>
      <c r="F47">
        <f t="shared" si="1"/>
        <v>40288.5</v>
      </c>
      <c r="G47">
        <f t="shared" si="2"/>
        <v>-4.9104999925475568E-4</v>
      </c>
      <c r="K47">
        <f t="shared" si="6"/>
        <v>-4.9104999925475568E-4</v>
      </c>
      <c r="O47">
        <f t="shared" ca="1" si="3"/>
        <v>-4.9714107666999421E-3</v>
      </c>
      <c r="Q47" s="2">
        <f t="shared" si="4"/>
        <v>37261.091699999997</v>
      </c>
    </row>
    <row r="48" spans="1:32" x14ac:dyDescent="0.2">
      <c r="A48" s="35" t="s">
        <v>45</v>
      </c>
      <c r="B48" s="38" t="s">
        <v>44</v>
      </c>
      <c r="C48" s="39">
        <v>52362.300199999998</v>
      </c>
      <c r="D48" s="40">
        <v>1.4E-3</v>
      </c>
      <c r="E48">
        <f t="shared" si="0"/>
        <v>40500.998285533562</v>
      </c>
      <c r="F48">
        <f t="shared" si="1"/>
        <v>40501</v>
      </c>
      <c r="G48">
        <f t="shared" si="2"/>
        <v>-6.6730000253301114E-4</v>
      </c>
      <c r="K48">
        <f t="shared" si="6"/>
        <v>-6.6730000253301114E-4</v>
      </c>
      <c r="O48">
        <f t="shared" ca="1" si="3"/>
        <v>-4.6560279017277273E-3</v>
      </c>
      <c r="Q48" s="2">
        <f t="shared" si="4"/>
        <v>37343.800199999998</v>
      </c>
    </row>
    <row r="49" spans="1:17" x14ac:dyDescent="0.2">
      <c r="A49" s="35" t="s">
        <v>45</v>
      </c>
      <c r="B49" s="38" t="s">
        <v>44</v>
      </c>
      <c r="C49" s="39">
        <v>52367.360999999997</v>
      </c>
      <c r="D49" s="40">
        <v>4.1999999999999997E-3</v>
      </c>
      <c r="E49">
        <f t="shared" si="0"/>
        <v>40514.000790817881</v>
      </c>
      <c r="F49">
        <f t="shared" si="1"/>
        <v>40514</v>
      </c>
      <c r="G49">
        <f t="shared" si="2"/>
        <v>3.0780000088270754E-4</v>
      </c>
      <c r="K49">
        <f t="shared" si="6"/>
        <v>3.0780000088270754E-4</v>
      </c>
      <c r="O49">
        <f t="shared" ca="1" si="3"/>
        <v>-4.6367338911647224E-3</v>
      </c>
      <c r="Q49" s="2">
        <f t="shared" si="4"/>
        <v>37348.860999999997</v>
      </c>
    </row>
    <row r="50" spans="1:17" x14ac:dyDescent="0.2">
      <c r="A50" s="35" t="s">
        <v>45</v>
      </c>
      <c r="B50" s="38" t="s">
        <v>44</v>
      </c>
      <c r="C50" s="39">
        <v>52367.361400000002</v>
      </c>
      <c r="D50" s="40">
        <v>2.2000000000000001E-3</v>
      </c>
      <c r="E50">
        <f t="shared" si="0"/>
        <v>40514.001818521443</v>
      </c>
      <c r="F50">
        <f t="shared" si="1"/>
        <v>40514</v>
      </c>
      <c r="G50">
        <f t="shared" si="2"/>
        <v>7.0780000532977283E-4</v>
      </c>
      <c r="K50">
        <f t="shared" si="6"/>
        <v>7.0780000532977283E-4</v>
      </c>
      <c r="O50">
        <f t="shared" ca="1" si="3"/>
        <v>-4.6367338911647224E-3</v>
      </c>
      <c r="Q50" s="2">
        <f t="shared" si="4"/>
        <v>37348.861400000002</v>
      </c>
    </row>
    <row r="51" spans="1:17" x14ac:dyDescent="0.2">
      <c r="A51" s="35" t="s">
        <v>45</v>
      </c>
      <c r="B51" s="38" t="s">
        <v>44</v>
      </c>
      <c r="C51" s="39">
        <v>52369.303599999999</v>
      </c>
      <c r="D51" s="40">
        <v>5.5999999999999999E-3</v>
      </c>
      <c r="E51">
        <f t="shared" si="0"/>
        <v>40518.991833096843</v>
      </c>
      <c r="F51">
        <f t="shared" si="1"/>
        <v>40519</v>
      </c>
      <c r="G51">
        <f t="shared" si="2"/>
        <v>-3.178699997079093E-3</v>
      </c>
      <c r="K51">
        <f t="shared" si="6"/>
        <v>-3.178699997079093E-3</v>
      </c>
      <c r="O51">
        <f t="shared" ca="1" si="3"/>
        <v>-4.6293131178712574E-3</v>
      </c>
      <c r="Q51" s="2">
        <f t="shared" si="4"/>
        <v>37350.803599999999</v>
      </c>
    </row>
    <row r="52" spans="1:17" x14ac:dyDescent="0.2">
      <c r="A52" s="35" t="s">
        <v>45</v>
      </c>
      <c r="B52" s="38" t="s">
        <v>44</v>
      </c>
      <c r="C52" s="39">
        <v>52369.3125</v>
      </c>
      <c r="D52" s="40">
        <v>6.7999999999999996E-3</v>
      </c>
      <c r="E52">
        <f t="shared" si="0"/>
        <v>40519.014699500774</v>
      </c>
      <c r="F52">
        <f t="shared" si="1"/>
        <v>40519</v>
      </c>
      <c r="G52">
        <f t="shared" si="2"/>
        <v>5.721300003642682E-3</v>
      </c>
      <c r="K52">
        <f t="shared" si="6"/>
        <v>5.721300003642682E-3</v>
      </c>
      <c r="O52">
        <f t="shared" ca="1" si="3"/>
        <v>-4.6293131178712574E-3</v>
      </c>
      <c r="Q52" s="2">
        <f t="shared" si="4"/>
        <v>37350.8125</v>
      </c>
    </row>
    <row r="53" spans="1:17" x14ac:dyDescent="0.2">
      <c r="A53" s="35" t="s">
        <v>45</v>
      </c>
      <c r="B53" s="38" t="s">
        <v>44</v>
      </c>
      <c r="C53" s="39">
        <v>52668.226300000002</v>
      </c>
      <c r="D53" s="40">
        <v>6.1000000000000004E-3</v>
      </c>
      <c r="E53">
        <f t="shared" ref="E53:E70" si="7">+(C53-C$7)/C$8</f>
        <v>41287.001631222469</v>
      </c>
      <c r="F53">
        <f t="shared" ref="F53:F70" si="8">ROUND(2*E53,0)/2</f>
        <v>41287</v>
      </c>
      <c r="G53">
        <f t="shared" ref="G53:G70" si="9">+C53-(C$7+F53*C$8)</f>
        <v>6.3490000320598483E-4</v>
      </c>
      <c r="K53">
        <f t="shared" si="6"/>
        <v>6.3490000320598483E-4</v>
      </c>
      <c r="O53">
        <f t="shared" ref="O53:O70" ca="1" si="10">+C$11+C$12*F53</f>
        <v>-3.4894823399952077E-3</v>
      </c>
      <c r="Q53" s="2">
        <f t="shared" ref="Q53:Q70" si="11">+C53-15018.5</f>
        <v>37649.726300000002</v>
      </c>
    </row>
    <row r="54" spans="1:17" x14ac:dyDescent="0.2">
      <c r="A54" s="35" t="s">
        <v>45</v>
      </c>
      <c r="B54" s="38" t="s">
        <v>44</v>
      </c>
      <c r="C54" s="39">
        <v>52668.2264</v>
      </c>
      <c r="D54" s="40">
        <v>3.8E-3</v>
      </c>
      <c r="E54">
        <f t="shared" si="7"/>
        <v>41287.001888148348</v>
      </c>
      <c r="F54">
        <f t="shared" si="8"/>
        <v>41287</v>
      </c>
      <c r="G54">
        <f t="shared" si="9"/>
        <v>7.3490000067977235E-4</v>
      </c>
      <c r="K54">
        <f t="shared" si="6"/>
        <v>7.3490000067977235E-4</v>
      </c>
      <c r="O54">
        <f t="shared" ca="1" si="10"/>
        <v>-3.4894823399952077E-3</v>
      </c>
      <c r="Q54" s="2">
        <f t="shared" si="11"/>
        <v>37649.7264</v>
      </c>
    </row>
    <row r="55" spans="1:17" x14ac:dyDescent="0.2">
      <c r="A55" s="35" t="s">
        <v>45</v>
      </c>
      <c r="B55" s="38" t="s">
        <v>44</v>
      </c>
      <c r="C55" s="39">
        <v>52668.226600000002</v>
      </c>
      <c r="D55" s="40">
        <v>6.0000000000000001E-3</v>
      </c>
      <c r="E55">
        <f t="shared" si="7"/>
        <v>41287.002402000129</v>
      </c>
      <c r="F55">
        <f t="shared" si="8"/>
        <v>41287</v>
      </c>
      <c r="G55">
        <f t="shared" si="9"/>
        <v>9.3490000290330499E-4</v>
      </c>
      <c r="K55">
        <f t="shared" si="6"/>
        <v>9.3490000290330499E-4</v>
      </c>
      <c r="O55">
        <f t="shared" ca="1" si="10"/>
        <v>-3.4894823399952077E-3</v>
      </c>
      <c r="Q55" s="2">
        <f t="shared" si="11"/>
        <v>37649.726600000002</v>
      </c>
    </row>
    <row r="56" spans="1:17" x14ac:dyDescent="0.2">
      <c r="A56" s="35" t="s">
        <v>45</v>
      </c>
      <c r="B56" s="38" t="s">
        <v>41</v>
      </c>
      <c r="C56" s="39">
        <v>52668.419600000001</v>
      </c>
      <c r="D56" s="40">
        <v>5.7999999999999996E-3</v>
      </c>
      <c r="E56">
        <f t="shared" si="7"/>
        <v>41287.498268961848</v>
      </c>
      <c r="F56">
        <f t="shared" si="8"/>
        <v>41287.5</v>
      </c>
      <c r="G56">
        <f t="shared" si="9"/>
        <v>-6.7374999343883246E-4</v>
      </c>
      <c r="K56">
        <f t="shared" si="6"/>
        <v>-6.7374999343883246E-4</v>
      </c>
      <c r="O56">
        <f t="shared" ca="1" si="10"/>
        <v>-3.4887402626658653E-3</v>
      </c>
      <c r="Q56" s="2">
        <f t="shared" si="11"/>
        <v>37649.919600000001</v>
      </c>
    </row>
    <row r="57" spans="1:17" x14ac:dyDescent="0.2">
      <c r="A57" s="35" t="s">
        <v>45</v>
      </c>
      <c r="B57" s="38" t="s">
        <v>41</v>
      </c>
      <c r="C57" s="39">
        <v>52668.4205</v>
      </c>
      <c r="D57" s="40">
        <v>5.5999999999999999E-3</v>
      </c>
      <c r="E57">
        <f t="shared" si="7"/>
        <v>41287.500581294829</v>
      </c>
      <c r="F57">
        <f t="shared" si="8"/>
        <v>41287.5</v>
      </c>
      <c r="G57">
        <f t="shared" si="9"/>
        <v>2.2625000565312803E-4</v>
      </c>
      <c r="K57">
        <f t="shared" si="6"/>
        <v>2.2625000565312803E-4</v>
      </c>
      <c r="O57">
        <f t="shared" ca="1" si="10"/>
        <v>-3.4887402626658653E-3</v>
      </c>
      <c r="Q57" s="2">
        <f t="shared" si="11"/>
        <v>37649.9205</v>
      </c>
    </row>
    <row r="58" spans="1:17" x14ac:dyDescent="0.2">
      <c r="A58" s="35" t="s">
        <v>45</v>
      </c>
      <c r="B58" s="38" t="s">
        <v>41</v>
      </c>
      <c r="C58" s="39">
        <v>52668.421900000001</v>
      </c>
      <c r="D58" s="40">
        <v>5.4999999999999997E-3</v>
      </c>
      <c r="E58">
        <f t="shared" si="7"/>
        <v>41287.504178257244</v>
      </c>
      <c r="F58">
        <f t="shared" si="8"/>
        <v>41287.5</v>
      </c>
      <c r="G58">
        <f t="shared" si="9"/>
        <v>1.6262500066659413E-3</v>
      </c>
      <c r="K58">
        <f t="shared" si="6"/>
        <v>1.6262500066659413E-3</v>
      </c>
      <c r="O58">
        <f t="shared" ca="1" si="10"/>
        <v>-3.4887402626658653E-3</v>
      </c>
      <c r="Q58" s="2">
        <f t="shared" si="11"/>
        <v>37649.921900000001</v>
      </c>
    </row>
    <row r="59" spans="1:17" x14ac:dyDescent="0.2">
      <c r="A59" s="35" t="s">
        <v>51</v>
      </c>
      <c r="B59" s="36" t="s">
        <v>44</v>
      </c>
      <c r="C59" s="37">
        <v>52692.360999999997</v>
      </c>
      <c r="D59" s="36">
        <v>3.0000000000000001E-3</v>
      </c>
      <c r="E59">
        <f t="shared" si="7"/>
        <v>41349.00992324853</v>
      </c>
      <c r="F59">
        <f t="shared" si="8"/>
        <v>41349</v>
      </c>
      <c r="G59">
        <f t="shared" si="9"/>
        <v>3.8623000000370666E-3</v>
      </c>
      <c r="I59">
        <f>+G59</f>
        <v>3.8623000000370666E-3</v>
      </c>
      <c r="O59">
        <f t="shared" ca="1" si="10"/>
        <v>-3.3974647511562581E-3</v>
      </c>
      <c r="Q59" s="2">
        <f t="shared" si="11"/>
        <v>37673.860999999997</v>
      </c>
    </row>
    <row r="60" spans="1:17" x14ac:dyDescent="0.2">
      <c r="A60" s="69" t="s">
        <v>192</v>
      </c>
      <c r="B60" s="70" t="s">
        <v>44</v>
      </c>
      <c r="C60" s="69">
        <v>52995.167399999998</v>
      </c>
      <c r="D60" s="69" t="s">
        <v>88</v>
      </c>
      <c r="E60">
        <f t="shared" si="7"/>
        <v>42126.997952043763</v>
      </c>
      <c r="F60">
        <f t="shared" si="8"/>
        <v>42127</v>
      </c>
      <c r="G60">
        <f t="shared" si="9"/>
        <v>-7.9709999408805743E-4</v>
      </c>
      <c r="K60">
        <f t="shared" ref="K60:K68" si="12">+G60</f>
        <v>-7.9709999408805743E-4</v>
      </c>
      <c r="O60">
        <f t="shared" ca="1" si="10"/>
        <v>-2.2427924266932853E-3</v>
      </c>
      <c r="Q60" s="2">
        <f t="shared" si="11"/>
        <v>37976.667399999998</v>
      </c>
    </row>
    <row r="61" spans="1:17" x14ac:dyDescent="0.2">
      <c r="A61" s="35" t="s">
        <v>45</v>
      </c>
      <c r="B61" s="38" t="s">
        <v>41</v>
      </c>
      <c r="C61" s="39">
        <v>53000.421000000002</v>
      </c>
      <c r="D61" s="40">
        <v>3.7000000000000002E-3</v>
      </c>
      <c r="E61">
        <f t="shared" si="7"/>
        <v>42140.495810438042</v>
      </c>
      <c r="F61">
        <f t="shared" si="8"/>
        <v>42140.5</v>
      </c>
      <c r="G61">
        <f t="shared" si="9"/>
        <v>-1.6306499892380089E-3</v>
      </c>
      <c r="K61">
        <f t="shared" si="12"/>
        <v>-1.6306499892380089E-3</v>
      </c>
      <c r="O61">
        <f t="shared" ca="1" si="10"/>
        <v>-2.2227563388009242E-3</v>
      </c>
      <c r="Q61" s="2">
        <f t="shared" si="11"/>
        <v>37981.921000000002</v>
      </c>
    </row>
    <row r="62" spans="1:17" x14ac:dyDescent="0.2">
      <c r="A62" s="35" t="s">
        <v>45</v>
      </c>
      <c r="B62" s="38" t="s">
        <v>41</v>
      </c>
      <c r="C62" s="39">
        <v>53000.421499999997</v>
      </c>
      <c r="D62" s="40">
        <v>3.8E-3</v>
      </c>
      <c r="E62">
        <f t="shared" si="7"/>
        <v>42140.497095067461</v>
      </c>
      <c r="F62">
        <f t="shared" si="8"/>
        <v>42140.5</v>
      </c>
      <c r="G62">
        <f t="shared" si="9"/>
        <v>-1.1306499945931137E-3</v>
      </c>
      <c r="K62">
        <f t="shared" si="12"/>
        <v>-1.1306499945931137E-3</v>
      </c>
      <c r="O62">
        <f t="shared" ca="1" si="10"/>
        <v>-2.2227563388009242E-3</v>
      </c>
      <c r="Q62" s="2">
        <f t="shared" si="11"/>
        <v>37981.921499999997</v>
      </c>
    </row>
    <row r="63" spans="1:17" x14ac:dyDescent="0.2">
      <c r="A63" s="43" t="s">
        <v>47</v>
      </c>
      <c r="B63" s="44" t="s">
        <v>44</v>
      </c>
      <c r="C63" s="45">
        <v>53318.8024</v>
      </c>
      <c r="D63" s="46">
        <v>5.0000000000000001E-4</v>
      </c>
      <c r="E63">
        <f t="shared" si="7"/>
        <v>42958.500046118206</v>
      </c>
      <c r="F63">
        <f t="shared" si="8"/>
        <v>42958.5</v>
      </c>
      <c r="G63">
        <f t="shared" si="9"/>
        <v>1.7950005712918937E-5</v>
      </c>
      <c r="K63">
        <f t="shared" si="12"/>
        <v>1.7950005712918937E-5</v>
      </c>
      <c r="O63">
        <f t="shared" ca="1" si="10"/>
        <v>-1.0087178279902381E-3</v>
      </c>
      <c r="Q63" s="2">
        <f t="shared" si="11"/>
        <v>38300.3024</v>
      </c>
    </row>
    <row r="64" spans="1:17" x14ac:dyDescent="0.2">
      <c r="A64" s="47" t="s">
        <v>48</v>
      </c>
      <c r="B64" s="38" t="s">
        <v>44</v>
      </c>
      <c r="C64" s="39">
        <v>53320.943200000002</v>
      </c>
      <c r="D64" s="39">
        <v>2.0000000000000001E-4</v>
      </c>
      <c r="E64">
        <f t="shared" si="7"/>
        <v>42964.000315505</v>
      </c>
      <c r="F64">
        <f t="shared" si="8"/>
        <v>42964</v>
      </c>
      <c r="G64">
        <f t="shared" si="9"/>
        <v>1.2280000373721123E-4</v>
      </c>
      <c r="K64">
        <f t="shared" si="12"/>
        <v>1.2280000373721123E-4</v>
      </c>
      <c r="O64">
        <f t="shared" ca="1" si="10"/>
        <v>-1.0005549773674377E-3</v>
      </c>
      <c r="Q64" s="2">
        <f t="shared" si="11"/>
        <v>38302.443200000002</v>
      </c>
    </row>
    <row r="65" spans="1:17" x14ac:dyDescent="0.2">
      <c r="A65" s="47" t="s">
        <v>48</v>
      </c>
      <c r="B65" s="38" t="s">
        <v>41</v>
      </c>
      <c r="C65" s="39">
        <v>53353.832000000002</v>
      </c>
      <c r="D65" s="39">
        <v>2.0000000000000001E-4</v>
      </c>
      <c r="E65">
        <f t="shared" si="7"/>
        <v>43048.500156596339</v>
      </c>
      <c r="F65">
        <f t="shared" si="8"/>
        <v>43048.5</v>
      </c>
      <c r="G65">
        <f t="shared" si="9"/>
        <v>6.0950005718041211E-5</v>
      </c>
      <c r="K65">
        <f t="shared" si="12"/>
        <v>6.0950005718041211E-5</v>
      </c>
      <c r="O65">
        <f t="shared" ca="1" si="10"/>
        <v>-8.7514390870789549E-4</v>
      </c>
      <c r="Q65" s="2">
        <f t="shared" si="11"/>
        <v>38335.332000000002</v>
      </c>
    </row>
    <row r="66" spans="1:17" x14ac:dyDescent="0.2">
      <c r="A66" s="48" t="s">
        <v>64</v>
      </c>
      <c r="B66" s="38" t="s">
        <v>41</v>
      </c>
      <c r="C66" s="39">
        <v>53410.269099999998</v>
      </c>
      <c r="D66" s="39">
        <v>1E-4</v>
      </c>
      <c r="E66">
        <f t="shared" si="7"/>
        <v>43193.501676312953</v>
      </c>
      <c r="F66">
        <f t="shared" si="8"/>
        <v>43193.5</v>
      </c>
      <c r="G66">
        <f t="shared" si="9"/>
        <v>6.5244999859714881E-4</v>
      </c>
      <c r="K66">
        <f t="shared" si="12"/>
        <v>6.5244999859714881E-4</v>
      </c>
      <c r="O66">
        <f t="shared" ca="1" si="10"/>
        <v>-6.5994148319743762E-4</v>
      </c>
      <c r="Q66" s="2">
        <f t="shared" si="11"/>
        <v>38391.769099999998</v>
      </c>
    </row>
    <row r="67" spans="1:17" x14ac:dyDescent="0.2">
      <c r="A67" s="48" t="s">
        <v>64</v>
      </c>
      <c r="B67" s="38" t="s">
        <v>44</v>
      </c>
      <c r="C67" s="39">
        <v>53410.464500000002</v>
      </c>
      <c r="D67" s="39">
        <v>1E-4</v>
      </c>
      <c r="E67">
        <f t="shared" si="7"/>
        <v>43194.00370949597</v>
      </c>
      <c r="F67">
        <f t="shared" si="8"/>
        <v>43194</v>
      </c>
      <c r="G67">
        <f t="shared" si="9"/>
        <v>1.4438000071095303E-3</v>
      </c>
      <c r="K67">
        <f t="shared" si="12"/>
        <v>1.4438000071095303E-3</v>
      </c>
      <c r="O67">
        <f t="shared" ca="1" si="10"/>
        <v>-6.5919940586810222E-4</v>
      </c>
      <c r="Q67" s="2">
        <f t="shared" si="11"/>
        <v>38391.964500000002</v>
      </c>
    </row>
    <row r="68" spans="1:17" x14ac:dyDescent="0.2">
      <c r="A68" s="48" t="s">
        <v>64</v>
      </c>
      <c r="B68" s="38" t="s">
        <v>41</v>
      </c>
      <c r="C68" s="39">
        <v>53464.371200000001</v>
      </c>
      <c r="D68" s="39">
        <v>4.0000000000000002E-4</v>
      </c>
      <c r="E68">
        <f t="shared" si="7"/>
        <v>43332.503976570428</v>
      </c>
      <c r="F68">
        <f t="shared" si="8"/>
        <v>43332.5</v>
      </c>
      <c r="G68">
        <f t="shared" si="9"/>
        <v>1.5477500055567361E-3</v>
      </c>
      <c r="K68">
        <f t="shared" si="12"/>
        <v>1.5477500055567361E-3</v>
      </c>
      <c r="O68">
        <f t="shared" ca="1" si="10"/>
        <v>-4.5364398563914332E-4</v>
      </c>
      <c r="Q68" s="2">
        <f t="shared" si="11"/>
        <v>38445.871200000001</v>
      </c>
    </row>
    <row r="69" spans="1:17" x14ac:dyDescent="0.2">
      <c r="A69" s="48" t="s">
        <v>57</v>
      </c>
      <c r="B69" s="40"/>
      <c r="C69" s="37">
        <v>53768.348700000002</v>
      </c>
      <c r="D69" s="37">
        <v>8.9999999999999998E-4</v>
      </c>
      <c r="E69">
        <f t="shared" si="7"/>
        <v>44113.500864427158</v>
      </c>
      <c r="F69">
        <f t="shared" si="8"/>
        <v>44113.5</v>
      </c>
      <c r="G69">
        <f t="shared" si="9"/>
        <v>3.3645000075921416E-4</v>
      </c>
      <c r="J69">
        <f>+G69</f>
        <v>3.3645000075921416E-4</v>
      </c>
      <c r="O69">
        <f t="shared" ca="1" si="10"/>
        <v>7.0548080279990433E-4</v>
      </c>
      <c r="Q69" s="2">
        <f t="shared" si="11"/>
        <v>38749.848700000002</v>
      </c>
    </row>
    <row r="70" spans="1:17" x14ac:dyDescent="0.2">
      <c r="A70" s="48" t="s">
        <v>57</v>
      </c>
      <c r="B70" s="40"/>
      <c r="C70" s="37">
        <v>53768.541599999997</v>
      </c>
      <c r="D70" s="37">
        <v>1.1000000000000001E-3</v>
      </c>
      <c r="E70">
        <f t="shared" si="7"/>
        <v>44113.996474462983</v>
      </c>
      <c r="F70">
        <f t="shared" si="8"/>
        <v>44114</v>
      </c>
      <c r="G70">
        <f t="shared" si="9"/>
        <v>-1.3722000003326684E-3</v>
      </c>
      <c r="J70">
        <f>+G70</f>
        <v>-1.3722000003326684E-3</v>
      </c>
      <c r="O70">
        <f t="shared" ca="1" si="10"/>
        <v>7.0622288012925361E-4</v>
      </c>
      <c r="Q70" s="2">
        <f t="shared" si="11"/>
        <v>38750.041599999997</v>
      </c>
    </row>
    <row r="71" spans="1:17" x14ac:dyDescent="0.2">
      <c r="A71" s="37" t="s">
        <v>65</v>
      </c>
      <c r="B71" s="38"/>
      <c r="C71" s="37">
        <v>54149.393600000003</v>
      </c>
      <c r="D71" s="37">
        <v>2.7000000000000001E-3</v>
      </c>
      <c r="E71">
        <f t="shared" ref="E71:E87" si="13">+(C71-C$7)/C$8</f>
        <v>45092.503853246002</v>
      </c>
      <c r="F71">
        <f t="shared" ref="F71:F87" si="14">ROUND(2*E71,0)/2</f>
        <v>45092.5</v>
      </c>
      <c r="G71">
        <f t="shared" ref="G71:G87" si="15">+C71-(C$7+F71*C$8)</f>
        <v>1.4997500038589351E-3</v>
      </c>
      <c r="J71">
        <f>+G71</f>
        <v>1.4997500038589351E-3</v>
      </c>
      <c r="O71">
        <f t="shared" ref="O71:O87" ca="1" si="16">+C$11+C$12*F71</f>
        <v>2.158468213660128E-3</v>
      </c>
      <c r="Q71" s="2">
        <f t="shared" ref="Q71:Q87" si="17">+C71-15018.5</f>
        <v>39130.893600000003</v>
      </c>
    </row>
    <row r="72" spans="1:17" x14ac:dyDescent="0.2">
      <c r="A72" s="37" t="s">
        <v>65</v>
      </c>
      <c r="B72" s="38"/>
      <c r="C72" s="37">
        <v>54153.286</v>
      </c>
      <c r="D72" s="37">
        <v>5.9999999999999995E-4</v>
      </c>
      <c r="E72">
        <f t="shared" si="13"/>
        <v>45102.50443646776</v>
      </c>
      <c r="F72">
        <f t="shared" si="14"/>
        <v>45102.5</v>
      </c>
      <c r="G72">
        <f t="shared" si="15"/>
        <v>1.7267500006710179E-3</v>
      </c>
      <c r="J72">
        <f>+G72</f>
        <v>1.7267500006710179E-3</v>
      </c>
      <c r="O72">
        <f t="shared" ca="1" si="16"/>
        <v>2.173309760247058E-3</v>
      </c>
      <c r="Q72" s="2">
        <f t="shared" si="17"/>
        <v>39134.786</v>
      </c>
    </row>
    <row r="73" spans="1:17" x14ac:dyDescent="0.2">
      <c r="A73" s="37" t="s">
        <v>65</v>
      </c>
      <c r="B73" s="38"/>
      <c r="C73" s="37">
        <v>54200.381999999998</v>
      </c>
      <c r="D73" s="37">
        <v>2.0000000000000001E-4</v>
      </c>
      <c r="E73">
        <f t="shared" si="13"/>
        <v>45223.506252162995</v>
      </c>
      <c r="F73">
        <f t="shared" si="14"/>
        <v>45223.5</v>
      </c>
      <c r="G73">
        <f t="shared" si="15"/>
        <v>2.4334500049008057E-3</v>
      </c>
      <c r="J73">
        <f>+G73</f>
        <v>2.4334500049008057E-3</v>
      </c>
      <c r="O73">
        <f t="shared" ca="1" si="16"/>
        <v>2.3528924739488755E-3</v>
      </c>
      <c r="Q73" s="2">
        <f t="shared" si="17"/>
        <v>39181.881999999998</v>
      </c>
    </row>
    <row r="74" spans="1:17" x14ac:dyDescent="0.2">
      <c r="A74" s="37" t="s">
        <v>66</v>
      </c>
      <c r="B74" s="36" t="s">
        <v>44</v>
      </c>
      <c r="C74" s="37">
        <v>54888.717299999997</v>
      </c>
      <c r="D74" s="37">
        <v>5.0000000000000001E-4</v>
      </c>
      <c r="E74">
        <f t="shared" si="13"/>
        <v>46992.017826545736</v>
      </c>
      <c r="F74">
        <f t="shared" si="14"/>
        <v>46992</v>
      </c>
      <c r="G74">
        <f t="shared" si="15"/>
        <v>6.9384000016725622E-3</v>
      </c>
      <c r="K74">
        <f>+G74</f>
        <v>6.9384000016725622E-3</v>
      </c>
      <c r="O74">
        <f t="shared" ca="1" si="16"/>
        <v>4.9776199878470428E-3</v>
      </c>
      <c r="Q74" s="2">
        <f t="shared" si="17"/>
        <v>39870.217299999997</v>
      </c>
    </row>
    <row r="75" spans="1:17" x14ac:dyDescent="0.2">
      <c r="A75" s="50" t="s">
        <v>74</v>
      </c>
      <c r="B75" s="29" t="s">
        <v>44</v>
      </c>
      <c r="C75" s="28">
        <v>54890.465199999999</v>
      </c>
      <c r="D75" s="28">
        <v>1E-4</v>
      </c>
      <c r="E75">
        <f t="shared" si="13"/>
        <v>46996.508634122896</v>
      </c>
      <c r="F75">
        <f t="shared" si="14"/>
        <v>46996.5</v>
      </c>
      <c r="G75">
        <f t="shared" si="15"/>
        <v>3.3605499993427657E-3</v>
      </c>
      <c r="K75">
        <f>+G75</f>
        <v>3.3605499993427657E-3</v>
      </c>
      <c r="O75">
        <f t="shared" ca="1" si="16"/>
        <v>4.9842986838111586E-3</v>
      </c>
      <c r="Q75" s="2">
        <f t="shared" si="17"/>
        <v>39871.965199999999</v>
      </c>
    </row>
    <row r="76" spans="1:17" x14ac:dyDescent="0.2">
      <c r="A76" s="43" t="s">
        <v>73</v>
      </c>
      <c r="B76" s="49" t="s">
        <v>41</v>
      </c>
      <c r="C76" s="43">
        <v>55601.567000000003</v>
      </c>
      <c r="D76" s="43">
        <v>1E-3</v>
      </c>
      <c r="E76">
        <f t="shared" si="13"/>
        <v>48823.513240547138</v>
      </c>
      <c r="F76">
        <f t="shared" si="14"/>
        <v>48823.5</v>
      </c>
      <c r="G76">
        <f t="shared" si="15"/>
        <v>5.1534500016714446E-3</v>
      </c>
      <c r="I76">
        <f>+G76</f>
        <v>5.1534500016714446E-3</v>
      </c>
      <c r="O76">
        <f t="shared" ca="1" si="16"/>
        <v>7.6958492452428584E-3</v>
      </c>
      <c r="Q76" s="2">
        <f t="shared" si="17"/>
        <v>40583.067000000003</v>
      </c>
    </row>
    <row r="77" spans="1:17" x14ac:dyDescent="0.2">
      <c r="A77" s="43" t="s">
        <v>72</v>
      </c>
      <c r="B77" s="49" t="s">
        <v>44</v>
      </c>
      <c r="C77" s="43">
        <v>55621.419699999999</v>
      </c>
      <c r="D77" s="43">
        <v>1E-3</v>
      </c>
      <c r="E77">
        <f t="shared" si="13"/>
        <v>48874.519966096064</v>
      </c>
      <c r="F77">
        <f t="shared" si="14"/>
        <v>48874.5</v>
      </c>
      <c r="G77">
        <f t="shared" si="15"/>
        <v>7.7711500052828342E-3</v>
      </c>
      <c r="J77">
        <f>+G77</f>
        <v>7.7711500052828342E-3</v>
      </c>
      <c r="O77">
        <f t="shared" ca="1" si="16"/>
        <v>7.7715411328361794E-3</v>
      </c>
      <c r="Q77" s="2">
        <f t="shared" si="17"/>
        <v>40602.919699999999</v>
      </c>
    </row>
    <row r="78" spans="1:17" x14ac:dyDescent="0.2">
      <c r="A78" s="43" t="s">
        <v>72</v>
      </c>
      <c r="B78" s="49" t="s">
        <v>44</v>
      </c>
      <c r="C78" s="43">
        <v>55625.312599999997</v>
      </c>
      <c r="D78" s="43">
        <v>1.6000000000000001E-3</v>
      </c>
      <c r="E78">
        <f t="shared" si="13"/>
        <v>48884.521833947263</v>
      </c>
      <c r="F78">
        <f t="shared" si="14"/>
        <v>48884.5</v>
      </c>
      <c r="G78">
        <f t="shared" si="15"/>
        <v>8.4981500040157698E-3</v>
      </c>
      <c r="J78">
        <f>+G78</f>
        <v>8.4981500040157698E-3</v>
      </c>
      <c r="O78">
        <f t="shared" ca="1" si="16"/>
        <v>7.7863826794231095E-3</v>
      </c>
      <c r="Q78" s="2">
        <f t="shared" si="17"/>
        <v>40606.812599999997</v>
      </c>
    </row>
    <row r="79" spans="1:17" x14ac:dyDescent="0.2">
      <c r="A79" s="43" t="s">
        <v>72</v>
      </c>
      <c r="B79" s="49" t="s">
        <v>41</v>
      </c>
      <c r="C79" s="43">
        <v>55625.504699999998</v>
      </c>
      <c r="D79" s="43">
        <v>1.1999999999999999E-3</v>
      </c>
      <c r="E79">
        <f t="shared" si="13"/>
        <v>48885.015388576001</v>
      </c>
      <c r="F79">
        <f t="shared" si="14"/>
        <v>48885</v>
      </c>
      <c r="G79">
        <f t="shared" si="15"/>
        <v>5.9895000013057142E-3</v>
      </c>
      <c r="J79">
        <f>+G79</f>
        <v>5.9895000013057142E-3</v>
      </c>
      <c r="O79">
        <f t="shared" ca="1" si="16"/>
        <v>7.7871247567524587E-3</v>
      </c>
      <c r="Q79" s="2">
        <f t="shared" si="17"/>
        <v>40607.004699999998</v>
      </c>
    </row>
    <row r="80" spans="1:17" x14ac:dyDescent="0.2">
      <c r="A80" s="43" t="s">
        <v>71</v>
      </c>
      <c r="B80" s="49" t="s">
        <v>44</v>
      </c>
      <c r="C80" s="43">
        <v>55638.737800000003</v>
      </c>
      <c r="D80" s="43">
        <v>4.0000000000000002E-4</v>
      </c>
      <c r="E80">
        <f t="shared" si="13"/>
        <v>48919.014648115604</v>
      </c>
      <c r="F80">
        <f t="shared" si="14"/>
        <v>48919</v>
      </c>
      <c r="G80">
        <f t="shared" si="15"/>
        <v>5.7013000041479245E-3</v>
      </c>
      <c r="K80">
        <f>+G80</f>
        <v>5.7013000041479245E-3</v>
      </c>
      <c r="O80">
        <f t="shared" ca="1" si="16"/>
        <v>7.8375860151480153E-3</v>
      </c>
      <c r="Q80" s="2">
        <f t="shared" si="17"/>
        <v>40620.237800000003</v>
      </c>
    </row>
    <row r="81" spans="1:17" x14ac:dyDescent="0.2">
      <c r="A81" s="50" t="s">
        <v>76</v>
      </c>
      <c r="B81" s="29" t="s">
        <v>44</v>
      </c>
      <c r="C81" s="28">
        <v>55941.55</v>
      </c>
      <c r="D81" s="28">
        <v>2E-3</v>
      </c>
      <c r="E81">
        <f t="shared" si="13"/>
        <v>49697.017578612271</v>
      </c>
      <c r="F81">
        <f t="shared" si="14"/>
        <v>49697</v>
      </c>
      <c r="G81">
        <f t="shared" si="15"/>
        <v>6.841900001745671E-3</v>
      </c>
      <c r="I81">
        <f>+G81</f>
        <v>6.841900001745671E-3</v>
      </c>
      <c r="O81">
        <f t="shared" ca="1" si="16"/>
        <v>8.9922583396109951E-3</v>
      </c>
      <c r="Q81" s="2">
        <f t="shared" si="17"/>
        <v>40923.050000000003</v>
      </c>
    </row>
    <row r="82" spans="1:17" x14ac:dyDescent="0.2">
      <c r="A82" s="51" t="s">
        <v>75</v>
      </c>
      <c r="B82" s="52" t="s">
        <v>41</v>
      </c>
      <c r="C82" s="51">
        <v>55987.671699999999</v>
      </c>
      <c r="D82" s="51">
        <v>5.0000000000000001E-4</v>
      </c>
      <c r="E82">
        <f t="shared" si="13"/>
        <v>49815.516165391418</v>
      </c>
      <c r="F82">
        <f t="shared" si="14"/>
        <v>49815.5</v>
      </c>
      <c r="G82">
        <f t="shared" si="15"/>
        <v>6.291849997069221E-3</v>
      </c>
      <c r="K82">
        <f>+G82</f>
        <v>6.291849997069221E-3</v>
      </c>
      <c r="O82">
        <f t="shared" ca="1" si="16"/>
        <v>9.16813066666608E-3</v>
      </c>
      <c r="Q82" s="2">
        <f t="shared" si="17"/>
        <v>40969.171699999999</v>
      </c>
    </row>
    <row r="83" spans="1:17" x14ac:dyDescent="0.2">
      <c r="A83" s="53" t="s">
        <v>77</v>
      </c>
      <c r="B83" s="54" t="s">
        <v>44</v>
      </c>
      <c r="C83" s="53">
        <v>56713.3747</v>
      </c>
      <c r="D83" s="53">
        <v>3.0999999999999999E-3</v>
      </c>
      <c r="E83">
        <f t="shared" si="13"/>
        <v>51680.035034413944</v>
      </c>
      <c r="F83">
        <f t="shared" si="14"/>
        <v>51680</v>
      </c>
      <c r="G83">
        <f t="shared" si="15"/>
        <v>1.363600000331644E-2</v>
      </c>
      <c r="J83">
        <f>+G83</f>
        <v>1.363600000331644E-2</v>
      </c>
      <c r="O83">
        <f t="shared" ca="1" si="16"/>
        <v>1.1935337027798754E-2</v>
      </c>
      <c r="Q83" s="2">
        <f t="shared" si="17"/>
        <v>41694.8747</v>
      </c>
    </row>
    <row r="84" spans="1:17" x14ac:dyDescent="0.2">
      <c r="A84" s="53" t="s">
        <v>77</v>
      </c>
      <c r="B84" s="54" t="s">
        <v>44</v>
      </c>
      <c r="C84" s="53">
        <v>56726.412300000004</v>
      </c>
      <c r="D84" s="53">
        <v>1.1999999999999999E-3</v>
      </c>
      <c r="E84">
        <f t="shared" si="13"/>
        <v>51713.532003844659</v>
      </c>
      <c r="F84">
        <f t="shared" si="14"/>
        <v>51713.5</v>
      </c>
      <c r="G84">
        <f t="shared" si="15"/>
        <v>1.2456450007448439E-2</v>
      </c>
      <c r="J84">
        <f>+G84</f>
        <v>1.2456450007448439E-2</v>
      </c>
      <c r="O84">
        <f t="shared" ca="1" si="16"/>
        <v>1.1985056208864961E-2</v>
      </c>
      <c r="Q84" s="2">
        <f t="shared" si="17"/>
        <v>41707.912300000004</v>
      </c>
    </row>
    <row r="85" spans="1:17" x14ac:dyDescent="0.2">
      <c r="A85" s="69" t="s">
        <v>296</v>
      </c>
      <c r="B85" s="70" t="s">
        <v>44</v>
      </c>
      <c r="C85" s="69">
        <v>57009.182000000001</v>
      </c>
      <c r="D85" s="69" t="s">
        <v>88</v>
      </c>
      <c r="E85">
        <f t="shared" si="13"/>
        <v>52440.040563459035</v>
      </c>
      <c r="F85">
        <f t="shared" si="14"/>
        <v>52440</v>
      </c>
      <c r="G85">
        <f t="shared" si="15"/>
        <v>1.5788000004249625E-2</v>
      </c>
      <c r="I85">
        <f>+G85</f>
        <v>1.5788000004249625E-2</v>
      </c>
      <c r="O85">
        <f t="shared" ca="1" si="16"/>
        <v>1.3063294568405256E-2</v>
      </c>
      <c r="Q85" s="2">
        <f t="shared" si="17"/>
        <v>41990.682000000001</v>
      </c>
    </row>
    <row r="86" spans="1:17" x14ac:dyDescent="0.2">
      <c r="A86" s="72" t="s">
        <v>0</v>
      </c>
      <c r="B86" s="73"/>
      <c r="C86" s="74">
        <v>57027.084799999895</v>
      </c>
      <c r="D86" s="72"/>
      <c r="E86">
        <f t="shared" si="13"/>
        <v>52486.03749113901</v>
      </c>
      <c r="F86">
        <f t="shared" si="14"/>
        <v>52486</v>
      </c>
      <c r="G86">
        <f t="shared" si="15"/>
        <v>1.4592199899198022E-2</v>
      </c>
      <c r="K86">
        <f>+G86</f>
        <v>1.4592199899198022E-2</v>
      </c>
      <c r="O86">
        <f t="shared" ca="1" si="16"/>
        <v>1.3131565682705126E-2</v>
      </c>
      <c r="Q86" s="2">
        <f t="shared" si="17"/>
        <v>42008.584799999895</v>
      </c>
    </row>
    <row r="87" spans="1:17" x14ac:dyDescent="0.2">
      <c r="A87" s="71" t="s">
        <v>297</v>
      </c>
      <c r="B87" s="35"/>
      <c r="C87" s="74">
        <v>57032.14440000007</v>
      </c>
      <c r="D87" s="35"/>
      <c r="E87">
        <f t="shared" si="13"/>
        <v>52499.036913313139</v>
      </c>
      <c r="F87">
        <f t="shared" si="14"/>
        <v>52499</v>
      </c>
      <c r="G87">
        <f t="shared" si="15"/>
        <v>1.4367300078447443E-2</v>
      </c>
      <c r="K87">
        <f>+G87</f>
        <v>1.4367300078447443E-2</v>
      </c>
      <c r="O87">
        <f t="shared" ca="1" si="16"/>
        <v>1.3150859693268138E-2</v>
      </c>
      <c r="Q87" s="2">
        <f t="shared" si="17"/>
        <v>42013.64440000007</v>
      </c>
    </row>
    <row r="88" spans="1:17" x14ac:dyDescent="0.2">
      <c r="A88" s="35"/>
      <c r="B88" s="35"/>
      <c r="C88" s="35"/>
      <c r="D88" s="35"/>
    </row>
    <row r="89" spans="1:17" x14ac:dyDescent="0.2">
      <c r="A89" s="35"/>
      <c r="B89" s="35"/>
      <c r="C89" s="35"/>
      <c r="D89" s="35"/>
    </row>
    <row r="90" spans="1:17" x14ac:dyDescent="0.2">
      <c r="A90" s="35"/>
      <c r="B90" s="35"/>
      <c r="C90" s="35"/>
      <c r="D90" s="35"/>
    </row>
    <row r="91" spans="1:17" x14ac:dyDescent="0.2">
      <c r="A91" s="35"/>
      <c r="B91" s="35"/>
      <c r="C91" s="35"/>
      <c r="D91" s="35"/>
    </row>
    <row r="92" spans="1:17" x14ac:dyDescent="0.2">
      <c r="C92" s="16"/>
      <c r="D92" s="16"/>
    </row>
    <row r="93" spans="1:17" x14ac:dyDescent="0.2">
      <c r="C93" s="16"/>
      <c r="D93" s="16"/>
    </row>
    <row r="94" spans="1:17" x14ac:dyDescent="0.2">
      <c r="C94" s="16"/>
      <c r="D94" s="16"/>
    </row>
    <row r="95" spans="1:17" x14ac:dyDescent="0.2">
      <c r="C95" s="16"/>
      <c r="D95" s="16"/>
    </row>
    <row r="96" spans="1:17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</sheetData>
  <phoneticPr fontId="8" type="noConversion"/>
  <hyperlinks>
    <hyperlink ref="H1660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4"/>
  <sheetViews>
    <sheetView topLeftCell="A28" workbookViewId="0">
      <selection activeCell="A62" sqref="A62:D63"/>
    </sheetView>
  </sheetViews>
  <sheetFormatPr defaultRowHeight="12.75" x14ac:dyDescent="0.2"/>
  <cols>
    <col min="1" max="1" width="19.7109375" style="56" customWidth="1"/>
    <col min="2" max="2" width="4.42578125" style="12" customWidth="1"/>
    <col min="3" max="3" width="12.7109375" style="5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5" t="s">
        <v>78</v>
      </c>
      <c r="I1" s="57" t="s">
        <v>79</v>
      </c>
      <c r="J1" s="58" t="s">
        <v>80</v>
      </c>
    </row>
    <row r="2" spans="1:16" x14ac:dyDescent="0.2">
      <c r="I2" s="59" t="s">
        <v>81</v>
      </c>
      <c r="J2" s="60" t="s">
        <v>82</v>
      </c>
    </row>
    <row r="3" spans="1:16" x14ac:dyDescent="0.2">
      <c r="A3" s="61" t="s">
        <v>83</v>
      </c>
      <c r="I3" s="59" t="s">
        <v>84</v>
      </c>
      <c r="J3" s="60" t="s">
        <v>85</v>
      </c>
    </row>
    <row r="4" spans="1:16" x14ac:dyDescent="0.2">
      <c r="I4" s="59" t="s">
        <v>86</v>
      </c>
      <c r="J4" s="60" t="s">
        <v>85</v>
      </c>
    </row>
    <row r="5" spans="1:16" ht="13.5" thickBot="1" x14ac:dyDescent="0.25">
      <c r="I5" s="62" t="s">
        <v>87</v>
      </c>
      <c r="J5" s="63" t="s">
        <v>88</v>
      </c>
    </row>
    <row r="10" spans="1:16" ht="13.5" thickBot="1" x14ac:dyDescent="0.25"/>
    <row r="11" spans="1:16" ht="12.75" customHeight="1" thickBot="1" x14ac:dyDescent="0.25">
      <c r="A11" s="56" t="str">
        <f t="shared" ref="A11:A42" si="0">P11</f>
        <v> BBS 97 </v>
      </c>
      <c r="B11" s="5" t="str">
        <f t="shared" ref="B11:B42" si="1">IF(H11=INT(H11),"I","II")</f>
        <v>I</v>
      </c>
      <c r="C11" s="56">
        <f t="shared" ref="C11:C42" si="2">1*G11</f>
        <v>48307.434999999998</v>
      </c>
      <c r="D11" s="12" t="str">
        <f t="shared" ref="D11:D42" si="3">VLOOKUP(F11,I$1:J$5,2,FALSE)</f>
        <v>vis</v>
      </c>
      <c r="E11" s="64">
        <f>VLOOKUP(C11,Active!C$21:E$968,3,FALSE)</f>
        <v>30082.999907763609</v>
      </c>
      <c r="F11" s="5" t="s">
        <v>87</v>
      </c>
      <c r="G11" s="12" t="str">
        <f t="shared" ref="G11:G42" si="4">MID(I11,3,LEN(I11)-3)</f>
        <v>48307.435</v>
      </c>
      <c r="H11" s="56">
        <f t="shared" ref="H11:H42" si="5">1*K11</f>
        <v>-15889</v>
      </c>
      <c r="I11" s="65" t="s">
        <v>89</v>
      </c>
      <c r="J11" s="66" t="s">
        <v>90</v>
      </c>
      <c r="K11" s="65">
        <v>-15889</v>
      </c>
      <c r="L11" s="65" t="s">
        <v>91</v>
      </c>
      <c r="M11" s="66" t="s">
        <v>92</v>
      </c>
      <c r="N11" s="66" t="s">
        <v>93</v>
      </c>
      <c r="O11" s="67" t="s">
        <v>94</v>
      </c>
      <c r="P11" s="67" t="s">
        <v>95</v>
      </c>
    </row>
    <row r="12" spans="1:16" ht="12.75" customHeight="1" thickBot="1" x14ac:dyDescent="0.25">
      <c r="A12" s="56" t="str">
        <f t="shared" si="0"/>
        <v> BBS 101 </v>
      </c>
      <c r="B12" s="5" t="str">
        <f t="shared" si="1"/>
        <v>II</v>
      </c>
      <c r="C12" s="56">
        <f t="shared" si="2"/>
        <v>48571.517</v>
      </c>
      <c r="D12" s="12" t="str">
        <f t="shared" si="3"/>
        <v>vis</v>
      </c>
      <c r="E12" s="64">
        <f>VLOOKUP(C12,Active!C$21:E$968,3,FALSE)</f>
        <v>30761.494928411463</v>
      </c>
      <c r="F12" s="5" t="s">
        <v>87</v>
      </c>
      <c r="G12" s="12" t="str">
        <f t="shared" si="4"/>
        <v>48571.517</v>
      </c>
      <c r="H12" s="56">
        <f t="shared" si="5"/>
        <v>-15210.5</v>
      </c>
      <c r="I12" s="65" t="s">
        <v>96</v>
      </c>
      <c r="J12" s="66" t="s">
        <v>97</v>
      </c>
      <c r="K12" s="65">
        <v>-15210.5</v>
      </c>
      <c r="L12" s="65" t="s">
        <v>98</v>
      </c>
      <c r="M12" s="66" t="s">
        <v>92</v>
      </c>
      <c r="N12" s="66" t="s">
        <v>93</v>
      </c>
      <c r="O12" s="67" t="s">
        <v>94</v>
      </c>
      <c r="P12" s="67" t="s">
        <v>99</v>
      </c>
    </row>
    <row r="13" spans="1:16" ht="12.75" customHeight="1" thickBot="1" x14ac:dyDescent="0.25">
      <c r="A13" s="56" t="str">
        <f t="shared" si="0"/>
        <v> BBS 101 </v>
      </c>
      <c r="B13" s="5" t="str">
        <f t="shared" si="1"/>
        <v>I</v>
      </c>
      <c r="C13" s="56">
        <f t="shared" si="2"/>
        <v>48651.500999999997</v>
      </c>
      <c r="D13" s="12" t="str">
        <f t="shared" si="3"/>
        <v>vis</v>
      </c>
      <c r="E13" s="64">
        <f>VLOOKUP(C13,Active!C$21:E$968,3,FALSE)</f>
        <v>30966.99452979094</v>
      </c>
      <c r="F13" s="5" t="s">
        <v>87</v>
      </c>
      <c r="G13" s="12" t="str">
        <f t="shared" si="4"/>
        <v>48651.501</v>
      </c>
      <c r="H13" s="56">
        <f t="shared" si="5"/>
        <v>-15005</v>
      </c>
      <c r="I13" s="65" t="s">
        <v>100</v>
      </c>
      <c r="J13" s="66" t="s">
        <v>101</v>
      </c>
      <c r="K13" s="65">
        <v>-15005</v>
      </c>
      <c r="L13" s="65" t="s">
        <v>98</v>
      </c>
      <c r="M13" s="66" t="s">
        <v>92</v>
      </c>
      <c r="N13" s="66" t="s">
        <v>93</v>
      </c>
      <c r="O13" s="67" t="s">
        <v>94</v>
      </c>
      <c r="P13" s="67" t="s">
        <v>99</v>
      </c>
    </row>
    <row r="14" spans="1:16" ht="12.75" customHeight="1" thickBot="1" x14ac:dyDescent="0.25">
      <c r="A14" s="56" t="str">
        <f t="shared" si="0"/>
        <v> BBS 101 </v>
      </c>
      <c r="B14" s="5" t="str">
        <f t="shared" si="1"/>
        <v>II</v>
      </c>
      <c r="C14" s="56">
        <f t="shared" si="2"/>
        <v>48655.595000000001</v>
      </c>
      <c r="D14" s="12" t="str">
        <f t="shared" si="3"/>
        <v>vis</v>
      </c>
      <c r="E14" s="64">
        <f>VLOOKUP(C14,Active!C$21:E$968,3,FALSE)</f>
        <v>30977.513075600709</v>
      </c>
      <c r="F14" s="5" t="s">
        <v>87</v>
      </c>
      <c r="G14" s="12" t="str">
        <f t="shared" si="4"/>
        <v>48655.595</v>
      </c>
      <c r="H14" s="56">
        <f t="shared" si="5"/>
        <v>-14994.5</v>
      </c>
      <c r="I14" s="65" t="s">
        <v>102</v>
      </c>
      <c r="J14" s="66" t="s">
        <v>103</v>
      </c>
      <c r="K14" s="65">
        <v>-14994.5</v>
      </c>
      <c r="L14" s="65" t="s">
        <v>104</v>
      </c>
      <c r="M14" s="66" t="s">
        <v>92</v>
      </c>
      <c r="N14" s="66" t="s">
        <v>93</v>
      </c>
      <c r="O14" s="67" t="s">
        <v>94</v>
      </c>
      <c r="P14" s="67" t="s">
        <v>99</v>
      </c>
    </row>
    <row r="15" spans="1:16" ht="12.75" customHeight="1" thickBot="1" x14ac:dyDescent="0.25">
      <c r="A15" s="56" t="str">
        <f t="shared" si="0"/>
        <v> BBS 101 </v>
      </c>
      <c r="B15" s="5" t="str">
        <f t="shared" si="1"/>
        <v>II</v>
      </c>
      <c r="C15" s="56">
        <f t="shared" si="2"/>
        <v>48677.385000000002</v>
      </c>
      <c r="D15" s="12" t="str">
        <f t="shared" si="3"/>
        <v>vis</v>
      </c>
      <c r="E15" s="64">
        <f>VLOOKUP(C15,Active!C$21:E$968,3,FALSE)</f>
        <v>31033.497226356601</v>
      </c>
      <c r="F15" s="5" t="s">
        <v>87</v>
      </c>
      <c r="G15" s="12" t="str">
        <f t="shared" si="4"/>
        <v>48677.385</v>
      </c>
      <c r="H15" s="56">
        <f t="shared" si="5"/>
        <v>-14938.5</v>
      </c>
      <c r="I15" s="65" t="s">
        <v>105</v>
      </c>
      <c r="J15" s="66" t="s">
        <v>106</v>
      </c>
      <c r="K15" s="65">
        <v>-14938.5</v>
      </c>
      <c r="L15" s="65" t="s">
        <v>107</v>
      </c>
      <c r="M15" s="66" t="s">
        <v>92</v>
      </c>
      <c r="N15" s="66" t="s">
        <v>93</v>
      </c>
      <c r="O15" s="67" t="s">
        <v>94</v>
      </c>
      <c r="P15" s="67" t="s">
        <v>99</v>
      </c>
    </row>
    <row r="16" spans="1:16" ht="12.75" customHeight="1" thickBot="1" x14ac:dyDescent="0.25">
      <c r="A16" s="56" t="str">
        <f t="shared" si="0"/>
        <v> BBS 103 </v>
      </c>
      <c r="B16" s="5" t="str">
        <f t="shared" si="1"/>
        <v>II</v>
      </c>
      <c r="C16" s="56">
        <f t="shared" si="2"/>
        <v>48971.64</v>
      </c>
      <c r="D16" s="12" t="str">
        <f t="shared" si="3"/>
        <v>vis</v>
      </c>
      <c r="E16" s="64">
        <f>VLOOKUP(C16,Active!C$21:E$968,3,FALSE)</f>
        <v>31789.514494859304</v>
      </c>
      <c r="F16" s="5" t="s">
        <v>87</v>
      </c>
      <c r="G16" s="12" t="str">
        <f t="shared" si="4"/>
        <v>48971.640</v>
      </c>
      <c r="H16" s="56">
        <f t="shared" si="5"/>
        <v>-14182.5</v>
      </c>
      <c r="I16" s="65" t="s">
        <v>108</v>
      </c>
      <c r="J16" s="66" t="s">
        <v>109</v>
      </c>
      <c r="K16" s="65">
        <v>-14182.5</v>
      </c>
      <c r="L16" s="65" t="s">
        <v>104</v>
      </c>
      <c r="M16" s="66" t="s">
        <v>92</v>
      </c>
      <c r="N16" s="66" t="s">
        <v>93</v>
      </c>
      <c r="O16" s="67" t="s">
        <v>94</v>
      </c>
      <c r="P16" s="67" t="s">
        <v>110</v>
      </c>
    </row>
    <row r="17" spans="1:16" ht="12.75" customHeight="1" thickBot="1" x14ac:dyDescent="0.25">
      <c r="A17" s="56" t="str">
        <f t="shared" si="0"/>
        <v> BBS 103 </v>
      </c>
      <c r="B17" s="5" t="str">
        <f t="shared" si="1"/>
        <v>I</v>
      </c>
      <c r="C17" s="56">
        <f t="shared" si="2"/>
        <v>49032.55</v>
      </c>
      <c r="D17" s="12" t="str">
        <f t="shared" si="3"/>
        <v>vis</v>
      </c>
      <c r="E17" s="64">
        <f>VLOOKUP(C17,Active!C$21:E$968,3,FALSE)</f>
        <v>31946.008052571164</v>
      </c>
      <c r="F17" s="5" t="s">
        <v>87</v>
      </c>
      <c r="G17" s="12" t="str">
        <f t="shared" si="4"/>
        <v>49032.550</v>
      </c>
      <c r="H17" s="56">
        <f t="shared" si="5"/>
        <v>-14026</v>
      </c>
      <c r="I17" s="65" t="s">
        <v>111</v>
      </c>
      <c r="J17" s="66" t="s">
        <v>112</v>
      </c>
      <c r="K17" s="65">
        <v>-14026</v>
      </c>
      <c r="L17" s="65" t="s">
        <v>113</v>
      </c>
      <c r="M17" s="66" t="s">
        <v>92</v>
      </c>
      <c r="N17" s="66" t="s">
        <v>93</v>
      </c>
      <c r="O17" s="67" t="s">
        <v>94</v>
      </c>
      <c r="P17" s="67" t="s">
        <v>110</v>
      </c>
    </row>
    <row r="18" spans="1:16" ht="12.75" customHeight="1" thickBot="1" x14ac:dyDescent="0.25">
      <c r="A18" s="56" t="str">
        <f t="shared" si="0"/>
        <v> BBS 106 </v>
      </c>
      <c r="B18" s="5" t="str">
        <f t="shared" si="1"/>
        <v>II</v>
      </c>
      <c r="C18" s="56">
        <f t="shared" si="2"/>
        <v>49383.415000000001</v>
      </c>
      <c r="D18" s="12" t="str">
        <f t="shared" si="3"/>
        <v>vis</v>
      </c>
      <c r="E18" s="64">
        <f>VLOOKUP(C18,Active!C$21:E$968,3,FALSE)</f>
        <v>32847.471065648941</v>
      </c>
      <c r="F18" s="5" t="s">
        <v>87</v>
      </c>
      <c r="G18" s="12" t="str">
        <f t="shared" si="4"/>
        <v>49383.415</v>
      </c>
      <c r="H18" s="56">
        <f t="shared" si="5"/>
        <v>-13124.5</v>
      </c>
      <c r="I18" s="65" t="s">
        <v>114</v>
      </c>
      <c r="J18" s="66" t="s">
        <v>115</v>
      </c>
      <c r="K18" s="65">
        <v>-13124.5</v>
      </c>
      <c r="L18" s="65" t="s">
        <v>116</v>
      </c>
      <c r="M18" s="66" t="s">
        <v>92</v>
      </c>
      <c r="N18" s="66" t="s">
        <v>93</v>
      </c>
      <c r="O18" s="67" t="s">
        <v>94</v>
      </c>
      <c r="P18" s="67" t="s">
        <v>117</v>
      </c>
    </row>
    <row r="19" spans="1:16" ht="12.75" customHeight="1" thickBot="1" x14ac:dyDescent="0.25">
      <c r="A19" s="56" t="str">
        <f t="shared" si="0"/>
        <v> BBS 110 </v>
      </c>
      <c r="B19" s="5" t="str">
        <f t="shared" si="1"/>
        <v>I</v>
      </c>
      <c r="C19" s="56">
        <f t="shared" si="2"/>
        <v>49698.500999999997</v>
      </c>
      <c r="D19" s="12" t="str">
        <f t="shared" si="3"/>
        <v>vis</v>
      </c>
      <c r="E19" s="64">
        <f>VLOOKUP(C19,Active!C$21:E$968,3,FALSE)</f>
        <v>33657.008565652141</v>
      </c>
      <c r="F19" s="5" t="s">
        <v>87</v>
      </c>
      <c r="G19" s="12" t="str">
        <f t="shared" si="4"/>
        <v>49698.501</v>
      </c>
      <c r="H19" s="56">
        <f t="shared" si="5"/>
        <v>-12315</v>
      </c>
      <c r="I19" s="65" t="s">
        <v>118</v>
      </c>
      <c r="J19" s="66" t="s">
        <v>119</v>
      </c>
      <c r="K19" s="65">
        <v>-12315</v>
      </c>
      <c r="L19" s="65" t="s">
        <v>120</v>
      </c>
      <c r="M19" s="66" t="s">
        <v>92</v>
      </c>
      <c r="N19" s="66" t="s">
        <v>93</v>
      </c>
      <c r="O19" s="67" t="s">
        <v>94</v>
      </c>
      <c r="P19" s="67" t="s">
        <v>121</v>
      </c>
    </row>
    <row r="20" spans="1:16" ht="12.75" customHeight="1" thickBot="1" x14ac:dyDescent="0.25">
      <c r="A20" s="56" t="str">
        <f t="shared" si="0"/>
        <v> BBS 112 </v>
      </c>
      <c r="B20" s="5" t="str">
        <f t="shared" si="1"/>
        <v>II</v>
      </c>
      <c r="C20" s="56">
        <f t="shared" si="2"/>
        <v>50138.508999999998</v>
      </c>
      <c r="D20" s="12" t="str">
        <f t="shared" si="3"/>
        <v>vis</v>
      </c>
      <c r="E20" s="64">
        <f>VLOOKUP(C20,Active!C$21:E$968,3,FALSE)</f>
        <v>34787.50302209075</v>
      </c>
      <c r="F20" s="5" t="s">
        <v>87</v>
      </c>
      <c r="G20" s="12" t="str">
        <f t="shared" si="4"/>
        <v>50138.509</v>
      </c>
      <c r="H20" s="56">
        <f t="shared" si="5"/>
        <v>-11184.5</v>
      </c>
      <c r="I20" s="65" t="s">
        <v>122</v>
      </c>
      <c r="J20" s="66" t="s">
        <v>123</v>
      </c>
      <c r="K20" s="65">
        <v>-11184.5</v>
      </c>
      <c r="L20" s="65" t="s">
        <v>107</v>
      </c>
      <c r="M20" s="66" t="s">
        <v>92</v>
      </c>
      <c r="N20" s="66" t="s">
        <v>93</v>
      </c>
      <c r="O20" s="67" t="s">
        <v>94</v>
      </c>
      <c r="P20" s="67" t="s">
        <v>124</v>
      </c>
    </row>
    <row r="21" spans="1:16" ht="12.75" customHeight="1" thickBot="1" x14ac:dyDescent="0.25">
      <c r="A21" s="56" t="str">
        <f t="shared" si="0"/>
        <v> BBS 115 </v>
      </c>
      <c r="B21" s="5" t="str">
        <f t="shared" si="1"/>
        <v>I</v>
      </c>
      <c r="C21" s="56">
        <f t="shared" si="2"/>
        <v>50547.381999999998</v>
      </c>
      <c r="D21" s="12" t="str">
        <f t="shared" si="3"/>
        <v>vis</v>
      </c>
      <c r="E21" s="64">
        <f>VLOOKUP(C21,Active!C$21:E$968,3,FALSE)</f>
        <v>35838.003603642494</v>
      </c>
      <c r="F21" s="5" t="s">
        <v>87</v>
      </c>
      <c r="G21" s="12" t="str">
        <f t="shared" si="4"/>
        <v>50547.382</v>
      </c>
      <c r="H21" s="56">
        <f t="shared" si="5"/>
        <v>-10134</v>
      </c>
      <c r="I21" s="65" t="s">
        <v>125</v>
      </c>
      <c r="J21" s="66" t="s">
        <v>126</v>
      </c>
      <c r="K21" s="65">
        <v>-10134</v>
      </c>
      <c r="L21" s="65" t="s">
        <v>98</v>
      </c>
      <c r="M21" s="66" t="s">
        <v>92</v>
      </c>
      <c r="N21" s="66" t="s">
        <v>93</v>
      </c>
      <c r="O21" s="67" t="s">
        <v>94</v>
      </c>
      <c r="P21" s="67" t="s">
        <v>127</v>
      </c>
    </row>
    <row r="22" spans="1:16" ht="12.75" customHeight="1" thickBot="1" x14ac:dyDescent="0.25">
      <c r="A22" s="56" t="str">
        <f t="shared" si="0"/>
        <v> BBS 121 </v>
      </c>
      <c r="B22" s="5" t="str">
        <f t="shared" si="1"/>
        <v>I</v>
      </c>
      <c r="C22" s="56">
        <f t="shared" si="2"/>
        <v>51250.307999999997</v>
      </c>
      <c r="D22" s="12" t="str">
        <f t="shared" si="3"/>
        <v>vis</v>
      </c>
      <c r="E22" s="64">
        <f>VLOOKUP(C22,Active!C$21:E$968,3,FALSE)</f>
        <v>37644.002463405406</v>
      </c>
      <c r="F22" s="5" t="s">
        <v>87</v>
      </c>
      <c r="G22" s="12" t="str">
        <f t="shared" si="4"/>
        <v>51250.308</v>
      </c>
      <c r="H22" s="56">
        <f t="shared" si="5"/>
        <v>-8328</v>
      </c>
      <c r="I22" s="65" t="s">
        <v>128</v>
      </c>
      <c r="J22" s="66" t="s">
        <v>129</v>
      </c>
      <c r="K22" s="65">
        <v>-8328</v>
      </c>
      <c r="L22" s="65" t="s">
        <v>130</v>
      </c>
      <c r="M22" s="66" t="s">
        <v>92</v>
      </c>
      <c r="N22" s="66" t="s">
        <v>93</v>
      </c>
      <c r="O22" s="67" t="s">
        <v>94</v>
      </c>
      <c r="P22" s="67" t="s">
        <v>131</v>
      </c>
    </row>
    <row r="23" spans="1:16" ht="12.75" customHeight="1" thickBot="1" x14ac:dyDescent="0.25">
      <c r="A23" s="56" t="str">
        <f t="shared" si="0"/>
        <v>IBVS 5583 </v>
      </c>
      <c r="B23" s="5" t="str">
        <f t="shared" si="1"/>
        <v>I</v>
      </c>
      <c r="C23" s="56">
        <f t="shared" si="2"/>
        <v>51876.555899999999</v>
      </c>
      <c r="D23" s="12" t="str">
        <f t="shared" si="3"/>
        <v>vis</v>
      </c>
      <c r="E23" s="64">
        <f>VLOOKUP(C23,Active!C$21:E$968,3,FALSE)</f>
        <v>39252.995434683922</v>
      </c>
      <c r="F23" s="5" t="s">
        <v>87</v>
      </c>
      <c r="G23" s="12" t="str">
        <f t="shared" si="4"/>
        <v>51876.5559</v>
      </c>
      <c r="H23" s="56">
        <f t="shared" si="5"/>
        <v>-6719</v>
      </c>
      <c r="I23" s="65" t="s">
        <v>132</v>
      </c>
      <c r="J23" s="66" t="s">
        <v>133</v>
      </c>
      <c r="K23" s="65">
        <v>-6719</v>
      </c>
      <c r="L23" s="65" t="s">
        <v>134</v>
      </c>
      <c r="M23" s="66" t="s">
        <v>92</v>
      </c>
      <c r="N23" s="66" t="s">
        <v>93</v>
      </c>
      <c r="O23" s="67" t="s">
        <v>135</v>
      </c>
      <c r="P23" s="68" t="s">
        <v>136</v>
      </c>
    </row>
    <row r="24" spans="1:16" ht="12.75" customHeight="1" thickBot="1" x14ac:dyDescent="0.25">
      <c r="A24" s="56" t="str">
        <f t="shared" si="0"/>
        <v>OEJV 0074 </v>
      </c>
      <c r="B24" s="5" t="str">
        <f t="shared" si="1"/>
        <v>I</v>
      </c>
      <c r="C24" s="56">
        <f t="shared" si="2"/>
        <v>51899.52809</v>
      </c>
      <c r="D24" s="12" t="str">
        <f t="shared" si="3"/>
        <v>vis</v>
      </c>
      <c r="E24" s="64">
        <f>VLOOKUP(C24,Active!C$21:E$968,3,FALSE)</f>
        <v>39312.016937582179</v>
      </c>
      <c r="F24" s="5" t="s">
        <v>87</v>
      </c>
      <c r="G24" s="12" t="str">
        <f t="shared" si="4"/>
        <v>51899.52809</v>
      </c>
      <c r="H24" s="56">
        <f t="shared" si="5"/>
        <v>-6660</v>
      </c>
      <c r="I24" s="65" t="s">
        <v>137</v>
      </c>
      <c r="J24" s="66" t="s">
        <v>138</v>
      </c>
      <c r="K24" s="65">
        <v>-6660</v>
      </c>
      <c r="L24" s="65" t="s">
        <v>139</v>
      </c>
      <c r="M24" s="66" t="s">
        <v>140</v>
      </c>
      <c r="N24" s="66" t="s">
        <v>141</v>
      </c>
      <c r="O24" s="67" t="s">
        <v>142</v>
      </c>
      <c r="P24" s="68" t="s">
        <v>143</v>
      </c>
    </row>
    <row r="25" spans="1:16" ht="12.75" customHeight="1" thickBot="1" x14ac:dyDescent="0.25">
      <c r="A25" s="56" t="str">
        <f t="shared" si="0"/>
        <v>IBVS 5583 </v>
      </c>
      <c r="B25" s="5" t="str">
        <f t="shared" si="1"/>
        <v>I</v>
      </c>
      <c r="C25" s="56">
        <f t="shared" si="2"/>
        <v>51924.432099999998</v>
      </c>
      <c r="D25" s="12" t="str">
        <f t="shared" si="3"/>
        <v>vis</v>
      </c>
      <c r="E25" s="64">
        <f>VLOOKUP(C25,Active!C$21:E$968,3,FALSE)</f>
        <v>39376.001786148772</v>
      </c>
      <c r="F25" s="5" t="s">
        <v>87</v>
      </c>
      <c r="G25" s="12" t="str">
        <f t="shared" si="4"/>
        <v>51924.4321</v>
      </c>
      <c r="H25" s="56">
        <f t="shared" si="5"/>
        <v>-6596</v>
      </c>
      <c r="I25" s="65" t="s">
        <v>144</v>
      </c>
      <c r="J25" s="66" t="s">
        <v>145</v>
      </c>
      <c r="K25" s="65">
        <v>-6596</v>
      </c>
      <c r="L25" s="65" t="s">
        <v>146</v>
      </c>
      <c r="M25" s="66" t="s">
        <v>92</v>
      </c>
      <c r="N25" s="66" t="s">
        <v>93</v>
      </c>
      <c r="O25" s="67" t="s">
        <v>135</v>
      </c>
      <c r="P25" s="68" t="s">
        <v>136</v>
      </c>
    </row>
    <row r="26" spans="1:16" ht="12.75" customHeight="1" thickBot="1" x14ac:dyDescent="0.25">
      <c r="A26" s="56" t="str">
        <f t="shared" si="0"/>
        <v> BBS 125 </v>
      </c>
      <c r="B26" s="5" t="str">
        <f t="shared" si="1"/>
        <v>I</v>
      </c>
      <c r="C26" s="56">
        <f t="shared" si="2"/>
        <v>51925.597999999998</v>
      </c>
      <c r="D26" s="12" t="str">
        <f t="shared" si="3"/>
        <v>vis</v>
      </c>
      <c r="E26" s="64">
        <f>VLOOKUP(C26,Active!C$21:E$968,3,FALSE)</f>
        <v>39378.997285064157</v>
      </c>
      <c r="F26" s="5" t="s">
        <v>87</v>
      </c>
      <c r="G26" s="12" t="str">
        <f t="shared" si="4"/>
        <v>51925.598</v>
      </c>
      <c r="H26" s="56">
        <f t="shared" si="5"/>
        <v>-6593</v>
      </c>
      <c r="I26" s="65" t="s">
        <v>147</v>
      </c>
      <c r="J26" s="66" t="s">
        <v>148</v>
      </c>
      <c r="K26" s="65">
        <v>-6593</v>
      </c>
      <c r="L26" s="65" t="s">
        <v>149</v>
      </c>
      <c r="M26" s="66" t="s">
        <v>92</v>
      </c>
      <c r="N26" s="66" t="s">
        <v>93</v>
      </c>
      <c r="O26" s="67" t="s">
        <v>94</v>
      </c>
      <c r="P26" s="67" t="s">
        <v>150</v>
      </c>
    </row>
    <row r="27" spans="1:16" ht="12.75" customHeight="1" thickBot="1" x14ac:dyDescent="0.25">
      <c r="A27" s="56" t="str">
        <f t="shared" si="0"/>
        <v> BBS 124 </v>
      </c>
      <c r="B27" s="5" t="str">
        <f t="shared" si="1"/>
        <v>II</v>
      </c>
      <c r="C27" s="56">
        <f t="shared" si="2"/>
        <v>51951.480100000001</v>
      </c>
      <c r="D27" s="12" t="str">
        <f t="shared" si="3"/>
        <v>vis</v>
      </c>
      <c r="E27" s="64">
        <f>VLOOKUP(C27,Active!C$21:E$968,3,FALSE)</f>
        <v>39445.495100037959</v>
      </c>
      <c r="F27" s="5" t="s">
        <v>87</v>
      </c>
      <c r="G27" s="12" t="str">
        <f t="shared" si="4"/>
        <v>51951.4801</v>
      </c>
      <c r="H27" s="56">
        <f t="shared" si="5"/>
        <v>-6526.5</v>
      </c>
      <c r="I27" s="65" t="s">
        <v>151</v>
      </c>
      <c r="J27" s="66" t="s">
        <v>152</v>
      </c>
      <c r="K27" s="65">
        <v>-6526.5</v>
      </c>
      <c r="L27" s="65" t="s">
        <v>153</v>
      </c>
      <c r="M27" s="66" t="s">
        <v>92</v>
      </c>
      <c r="N27" s="66" t="s">
        <v>93</v>
      </c>
      <c r="O27" s="67" t="s">
        <v>154</v>
      </c>
      <c r="P27" s="67" t="s">
        <v>155</v>
      </c>
    </row>
    <row r="28" spans="1:16" ht="12.75" customHeight="1" thickBot="1" x14ac:dyDescent="0.25">
      <c r="A28" s="56" t="str">
        <f t="shared" si="0"/>
        <v>IBVS 5583 </v>
      </c>
      <c r="B28" s="5" t="str">
        <f t="shared" si="1"/>
        <v>I</v>
      </c>
      <c r="C28" s="56">
        <f t="shared" si="2"/>
        <v>51965.298999999999</v>
      </c>
      <c r="D28" s="12" t="str">
        <f t="shared" si="3"/>
        <v>vis</v>
      </c>
      <c r="E28" s="64">
        <f>VLOOKUP(C28,Active!C$21:E$968,3,FALSE)</f>
        <v>39480.999431423021</v>
      </c>
      <c r="F28" s="5" t="s">
        <v>87</v>
      </c>
      <c r="G28" s="12" t="str">
        <f t="shared" si="4"/>
        <v>51965.2990</v>
      </c>
      <c r="H28" s="56">
        <f t="shared" si="5"/>
        <v>-6491</v>
      </c>
      <c r="I28" s="65" t="s">
        <v>156</v>
      </c>
      <c r="J28" s="66" t="s">
        <v>157</v>
      </c>
      <c r="K28" s="65">
        <v>-6491</v>
      </c>
      <c r="L28" s="65" t="s">
        <v>158</v>
      </c>
      <c r="M28" s="66" t="s">
        <v>92</v>
      </c>
      <c r="N28" s="66" t="s">
        <v>93</v>
      </c>
      <c r="O28" s="67" t="s">
        <v>135</v>
      </c>
      <c r="P28" s="68" t="s">
        <v>136</v>
      </c>
    </row>
    <row r="29" spans="1:16" ht="12.75" customHeight="1" thickBot="1" x14ac:dyDescent="0.25">
      <c r="A29" s="56" t="str">
        <f t="shared" si="0"/>
        <v>OEJV 0074 </v>
      </c>
      <c r="B29" s="5" t="str">
        <f t="shared" si="1"/>
        <v>I</v>
      </c>
      <c r="C29" s="56">
        <f t="shared" si="2"/>
        <v>51968.412470000003</v>
      </c>
      <c r="D29" s="12" t="str">
        <f t="shared" si="3"/>
        <v>vis</v>
      </c>
      <c r="E29" s="64">
        <f>VLOOKUP(C29,Active!C$21:E$968,3,FALSE)</f>
        <v>39488.998741833951</v>
      </c>
      <c r="F29" s="5" t="s">
        <v>87</v>
      </c>
      <c r="G29" s="12" t="str">
        <f t="shared" si="4"/>
        <v>51968.41247</v>
      </c>
      <c r="H29" s="56">
        <f t="shared" si="5"/>
        <v>-6483</v>
      </c>
      <c r="I29" s="65" t="s">
        <v>159</v>
      </c>
      <c r="J29" s="66" t="s">
        <v>160</v>
      </c>
      <c r="K29" s="65">
        <v>-6483</v>
      </c>
      <c r="L29" s="65" t="s">
        <v>161</v>
      </c>
      <c r="M29" s="66" t="s">
        <v>140</v>
      </c>
      <c r="N29" s="66" t="s">
        <v>141</v>
      </c>
      <c r="O29" s="67" t="s">
        <v>142</v>
      </c>
      <c r="P29" s="68" t="s">
        <v>143</v>
      </c>
    </row>
    <row r="30" spans="1:16" ht="12.75" customHeight="1" thickBot="1" x14ac:dyDescent="0.25">
      <c r="A30" s="56" t="str">
        <f t="shared" si="0"/>
        <v>IBVS 5583 </v>
      </c>
      <c r="B30" s="5" t="str">
        <f t="shared" si="1"/>
        <v>II</v>
      </c>
      <c r="C30" s="56">
        <f t="shared" si="2"/>
        <v>51985.342799999999</v>
      </c>
      <c r="D30" s="12" t="str">
        <f t="shared" si="3"/>
        <v>vis</v>
      </c>
      <c r="E30" s="64">
        <f>VLOOKUP(C30,Active!C$21:E$968,3,FALSE)</f>
        <v>39532.497142341825</v>
      </c>
      <c r="F30" s="5" t="s">
        <v>87</v>
      </c>
      <c r="G30" s="12" t="str">
        <f t="shared" si="4"/>
        <v>51985.3428</v>
      </c>
      <c r="H30" s="56">
        <f t="shared" si="5"/>
        <v>-6439.5</v>
      </c>
      <c r="I30" s="65" t="s">
        <v>162</v>
      </c>
      <c r="J30" s="66" t="s">
        <v>163</v>
      </c>
      <c r="K30" s="65">
        <v>-6439.5</v>
      </c>
      <c r="L30" s="65" t="s">
        <v>164</v>
      </c>
      <c r="M30" s="66" t="s">
        <v>92</v>
      </c>
      <c r="N30" s="66" t="s">
        <v>93</v>
      </c>
      <c r="O30" s="67" t="s">
        <v>135</v>
      </c>
      <c r="P30" s="68" t="s">
        <v>136</v>
      </c>
    </row>
    <row r="31" spans="1:16" ht="12.75" customHeight="1" thickBot="1" x14ac:dyDescent="0.25">
      <c r="A31" s="56" t="str">
        <f t="shared" si="0"/>
        <v>OEJV 0074 </v>
      </c>
      <c r="B31" s="5" t="str">
        <f t="shared" si="1"/>
        <v>II</v>
      </c>
      <c r="C31" s="56">
        <f t="shared" si="2"/>
        <v>52230.552129999996</v>
      </c>
      <c r="D31" s="12" t="str">
        <f t="shared" si="3"/>
        <v>vis</v>
      </c>
      <c r="E31" s="64">
        <f>VLOOKUP(C31,Active!C$21:E$968,3,FALSE)</f>
        <v>40162.503388210134</v>
      </c>
      <c r="F31" s="5" t="s">
        <v>87</v>
      </c>
      <c r="G31" s="12" t="str">
        <f t="shared" si="4"/>
        <v>52230.55213</v>
      </c>
      <c r="H31" s="56">
        <f t="shared" si="5"/>
        <v>-5809.5</v>
      </c>
      <c r="I31" s="65" t="s">
        <v>165</v>
      </c>
      <c r="J31" s="66" t="s">
        <v>166</v>
      </c>
      <c r="K31" s="65">
        <v>-5809.5</v>
      </c>
      <c r="L31" s="65" t="s">
        <v>167</v>
      </c>
      <c r="M31" s="66" t="s">
        <v>140</v>
      </c>
      <c r="N31" s="66" t="s">
        <v>141</v>
      </c>
      <c r="O31" s="67" t="s">
        <v>142</v>
      </c>
      <c r="P31" s="68" t="s">
        <v>143</v>
      </c>
    </row>
    <row r="32" spans="1:16" ht="12.75" customHeight="1" thickBot="1" x14ac:dyDescent="0.25">
      <c r="A32" s="56" t="str">
        <f t="shared" si="0"/>
        <v>IBVS 5583 </v>
      </c>
      <c r="B32" s="5" t="str">
        <f t="shared" si="1"/>
        <v>II</v>
      </c>
      <c r="C32" s="56">
        <f t="shared" si="2"/>
        <v>52279.591699999997</v>
      </c>
      <c r="D32" s="12" t="str">
        <f t="shared" si="3"/>
        <v>vis</v>
      </c>
      <c r="E32" s="64">
        <f>VLOOKUP(C32,Active!C$21:E$968,3,FALSE)</f>
        <v>40288.498738365437</v>
      </c>
      <c r="F32" s="5" t="s">
        <v>87</v>
      </c>
      <c r="G32" s="12" t="str">
        <f t="shared" si="4"/>
        <v>52279.5917</v>
      </c>
      <c r="H32" s="56">
        <f t="shared" si="5"/>
        <v>-5683.5</v>
      </c>
      <c r="I32" s="65" t="s">
        <v>168</v>
      </c>
      <c r="J32" s="66" t="s">
        <v>169</v>
      </c>
      <c r="K32" s="65">
        <v>-5683.5</v>
      </c>
      <c r="L32" s="65" t="s">
        <v>170</v>
      </c>
      <c r="M32" s="66" t="s">
        <v>92</v>
      </c>
      <c r="N32" s="66" t="s">
        <v>93</v>
      </c>
      <c r="O32" s="67" t="s">
        <v>135</v>
      </c>
      <c r="P32" s="68" t="s">
        <v>136</v>
      </c>
    </row>
    <row r="33" spans="1:16" ht="12.75" customHeight="1" thickBot="1" x14ac:dyDescent="0.25">
      <c r="A33" s="56" t="str">
        <f t="shared" si="0"/>
        <v>IBVS 5583 </v>
      </c>
      <c r="B33" s="5" t="str">
        <f t="shared" si="1"/>
        <v>I</v>
      </c>
      <c r="C33" s="56">
        <f t="shared" si="2"/>
        <v>52362.300199999998</v>
      </c>
      <c r="D33" s="12" t="str">
        <f t="shared" si="3"/>
        <v>vis</v>
      </c>
      <c r="E33" s="64">
        <f>VLOOKUP(C33,Active!C$21:E$968,3,FALSE)</f>
        <v>40500.998285533562</v>
      </c>
      <c r="F33" s="5" t="s">
        <v>87</v>
      </c>
      <c r="G33" s="12" t="str">
        <f t="shared" si="4"/>
        <v>52362.3002</v>
      </c>
      <c r="H33" s="56">
        <f t="shared" si="5"/>
        <v>-5471</v>
      </c>
      <c r="I33" s="65" t="s">
        <v>171</v>
      </c>
      <c r="J33" s="66" t="s">
        <v>172</v>
      </c>
      <c r="K33" s="65">
        <v>-5471</v>
      </c>
      <c r="L33" s="65" t="s">
        <v>173</v>
      </c>
      <c r="M33" s="66" t="s">
        <v>92</v>
      </c>
      <c r="N33" s="66" t="s">
        <v>93</v>
      </c>
      <c r="O33" s="67" t="s">
        <v>135</v>
      </c>
      <c r="P33" s="68" t="s">
        <v>136</v>
      </c>
    </row>
    <row r="34" spans="1:16" ht="12.75" customHeight="1" thickBot="1" x14ac:dyDescent="0.25">
      <c r="A34" s="56" t="str">
        <f t="shared" si="0"/>
        <v>IBVS 5583 </v>
      </c>
      <c r="B34" s="5" t="str">
        <f t="shared" si="1"/>
        <v>I</v>
      </c>
      <c r="C34" s="56">
        <f t="shared" si="2"/>
        <v>52367.360999999997</v>
      </c>
      <c r="D34" s="12" t="str">
        <f t="shared" si="3"/>
        <v>vis</v>
      </c>
      <c r="E34" s="64">
        <f>VLOOKUP(C34,Active!C$21:E$968,3,FALSE)</f>
        <v>40514.000790817881</v>
      </c>
      <c r="F34" s="5" t="s">
        <v>87</v>
      </c>
      <c r="G34" s="12" t="str">
        <f t="shared" si="4"/>
        <v>52367.3610</v>
      </c>
      <c r="H34" s="56">
        <f t="shared" si="5"/>
        <v>-5458</v>
      </c>
      <c r="I34" s="65" t="s">
        <v>174</v>
      </c>
      <c r="J34" s="66" t="s">
        <v>175</v>
      </c>
      <c r="K34" s="65">
        <v>-5458</v>
      </c>
      <c r="L34" s="65" t="s">
        <v>176</v>
      </c>
      <c r="M34" s="66" t="s">
        <v>92</v>
      </c>
      <c r="N34" s="66" t="s">
        <v>93</v>
      </c>
      <c r="O34" s="67" t="s">
        <v>135</v>
      </c>
      <c r="P34" s="68" t="s">
        <v>136</v>
      </c>
    </row>
    <row r="35" spans="1:16" ht="12.75" customHeight="1" thickBot="1" x14ac:dyDescent="0.25">
      <c r="A35" s="56" t="str">
        <f t="shared" si="0"/>
        <v>IBVS 5583 </v>
      </c>
      <c r="B35" s="5" t="str">
        <f t="shared" si="1"/>
        <v>I</v>
      </c>
      <c r="C35" s="56">
        <f t="shared" si="2"/>
        <v>52369.3125</v>
      </c>
      <c r="D35" s="12" t="str">
        <f t="shared" si="3"/>
        <v>vis</v>
      </c>
      <c r="E35" s="64">
        <f>VLOOKUP(C35,Active!C$21:E$968,3,FALSE)</f>
        <v>40519.014699500774</v>
      </c>
      <c r="F35" s="5" t="s">
        <v>87</v>
      </c>
      <c r="G35" s="12" t="str">
        <f t="shared" si="4"/>
        <v>52369.3125</v>
      </c>
      <c r="H35" s="56">
        <f t="shared" si="5"/>
        <v>-5453</v>
      </c>
      <c r="I35" s="65" t="s">
        <v>177</v>
      </c>
      <c r="J35" s="66" t="s">
        <v>178</v>
      </c>
      <c r="K35" s="65">
        <v>-5453</v>
      </c>
      <c r="L35" s="65" t="s">
        <v>179</v>
      </c>
      <c r="M35" s="66" t="s">
        <v>92</v>
      </c>
      <c r="N35" s="66" t="s">
        <v>93</v>
      </c>
      <c r="O35" s="67" t="s">
        <v>135</v>
      </c>
      <c r="P35" s="68" t="s">
        <v>136</v>
      </c>
    </row>
    <row r="36" spans="1:16" ht="12.75" customHeight="1" thickBot="1" x14ac:dyDescent="0.25">
      <c r="A36" s="56" t="str">
        <f t="shared" si="0"/>
        <v>IBVS 5583 </v>
      </c>
      <c r="B36" s="5" t="str">
        <f t="shared" si="1"/>
        <v>I</v>
      </c>
      <c r="C36" s="56">
        <f t="shared" si="2"/>
        <v>52668.226300000002</v>
      </c>
      <c r="D36" s="12" t="str">
        <f t="shared" si="3"/>
        <v>vis</v>
      </c>
      <c r="E36" s="64">
        <f>VLOOKUP(C36,Active!C$21:E$968,3,FALSE)</f>
        <v>41287.001631222469</v>
      </c>
      <c r="F36" s="5" t="s">
        <v>87</v>
      </c>
      <c r="G36" s="12" t="str">
        <f t="shared" si="4"/>
        <v>52668.2263</v>
      </c>
      <c r="H36" s="56">
        <f t="shared" si="5"/>
        <v>-4685</v>
      </c>
      <c r="I36" s="65" t="s">
        <v>180</v>
      </c>
      <c r="J36" s="66" t="s">
        <v>181</v>
      </c>
      <c r="K36" s="65">
        <v>-4685</v>
      </c>
      <c r="L36" s="65" t="s">
        <v>182</v>
      </c>
      <c r="M36" s="66" t="s">
        <v>92</v>
      </c>
      <c r="N36" s="66" t="s">
        <v>93</v>
      </c>
      <c r="O36" s="67" t="s">
        <v>135</v>
      </c>
      <c r="P36" s="68" t="s">
        <v>136</v>
      </c>
    </row>
    <row r="37" spans="1:16" ht="12.75" customHeight="1" thickBot="1" x14ac:dyDescent="0.25">
      <c r="A37" s="56" t="str">
        <f t="shared" si="0"/>
        <v>IBVS 5583 </v>
      </c>
      <c r="B37" s="5" t="str">
        <f t="shared" si="1"/>
        <v>II</v>
      </c>
      <c r="C37" s="56">
        <f t="shared" si="2"/>
        <v>52668.4205</v>
      </c>
      <c r="D37" s="12" t="str">
        <f t="shared" si="3"/>
        <v>vis</v>
      </c>
      <c r="E37" s="64">
        <f>VLOOKUP(C37,Active!C$21:E$968,3,FALSE)</f>
        <v>41287.500581294829</v>
      </c>
      <c r="F37" s="5" t="s">
        <v>87</v>
      </c>
      <c r="G37" s="12" t="str">
        <f t="shared" si="4"/>
        <v>52668.4205</v>
      </c>
      <c r="H37" s="56">
        <f t="shared" si="5"/>
        <v>-4684.5</v>
      </c>
      <c r="I37" s="65" t="s">
        <v>183</v>
      </c>
      <c r="J37" s="66" t="s">
        <v>184</v>
      </c>
      <c r="K37" s="65">
        <v>-4684.5</v>
      </c>
      <c r="L37" s="65" t="s">
        <v>170</v>
      </c>
      <c r="M37" s="66" t="s">
        <v>92</v>
      </c>
      <c r="N37" s="66" t="s">
        <v>93</v>
      </c>
      <c r="O37" s="67" t="s">
        <v>135</v>
      </c>
      <c r="P37" s="68" t="s">
        <v>136</v>
      </c>
    </row>
    <row r="38" spans="1:16" ht="12.75" customHeight="1" thickBot="1" x14ac:dyDescent="0.25">
      <c r="A38" s="56" t="str">
        <f t="shared" si="0"/>
        <v> BBS 129 </v>
      </c>
      <c r="B38" s="5" t="str">
        <f t="shared" si="1"/>
        <v>I</v>
      </c>
      <c r="C38" s="56">
        <f t="shared" si="2"/>
        <v>52692.360999999997</v>
      </c>
      <c r="D38" s="12" t="str">
        <f t="shared" si="3"/>
        <v>vis</v>
      </c>
      <c r="E38" s="64">
        <f>VLOOKUP(C38,Active!C$21:E$968,3,FALSE)</f>
        <v>41349.00992324853</v>
      </c>
      <c r="F38" s="5" t="s">
        <v>87</v>
      </c>
      <c r="G38" s="12" t="str">
        <f t="shared" si="4"/>
        <v>52692.361</v>
      </c>
      <c r="H38" s="56">
        <f t="shared" si="5"/>
        <v>-4623</v>
      </c>
      <c r="I38" s="65" t="s">
        <v>185</v>
      </c>
      <c r="J38" s="66" t="s">
        <v>186</v>
      </c>
      <c r="K38" s="65">
        <v>-4623</v>
      </c>
      <c r="L38" s="65" t="s">
        <v>130</v>
      </c>
      <c r="M38" s="66" t="s">
        <v>92</v>
      </c>
      <c r="N38" s="66" t="s">
        <v>93</v>
      </c>
      <c r="O38" s="67" t="s">
        <v>94</v>
      </c>
      <c r="P38" s="67" t="s">
        <v>187</v>
      </c>
    </row>
    <row r="39" spans="1:16" ht="12.75" customHeight="1" thickBot="1" x14ac:dyDescent="0.25">
      <c r="A39" s="56" t="str">
        <f t="shared" si="0"/>
        <v>IBVS 5583 </v>
      </c>
      <c r="B39" s="5" t="str">
        <f t="shared" si="1"/>
        <v>II</v>
      </c>
      <c r="C39" s="56">
        <f t="shared" si="2"/>
        <v>53000.421000000002</v>
      </c>
      <c r="D39" s="12" t="str">
        <f t="shared" si="3"/>
        <v>vis</v>
      </c>
      <c r="E39" s="64">
        <f>VLOOKUP(C39,Active!C$21:E$968,3,FALSE)</f>
        <v>42140.495810438042</v>
      </c>
      <c r="F39" s="5" t="s">
        <v>87</v>
      </c>
      <c r="G39" s="12" t="str">
        <f t="shared" si="4"/>
        <v>53000.4210</v>
      </c>
      <c r="H39" s="56">
        <f t="shared" si="5"/>
        <v>-3831.5</v>
      </c>
      <c r="I39" s="65" t="s">
        <v>193</v>
      </c>
      <c r="J39" s="66" t="s">
        <v>194</v>
      </c>
      <c r="K39" s="65">
        <v>-3831.5</v>
      </c>
      <c r="L39" s="65" t="s">
        <v>195</v>
      </c>
      <c r="M39" s="66" t="s">
        <v>92</v>
      </c>
      <c r="N39" s="66" t="s">
        <v>93</v>
      </c>
      <c r="O39" s="67" t="s">
        <v>135</v>
      </c>
      <c r="P39" s="68" t="s">
        <v>136</v>
      </c>
    </row>
    <row r="40" spans="1:16" ht="12.75" customHeight="1" thickBot="1" x14ac:dyDescent="0.25">
      <c r="A40" s="56" t="str">
        <f t="shared" si="0"/>
        <v>IBVS 5603 </v>
      </c>
      <c r="B40" s="5" t="str">
        <f t="shared" si="1"/>
        <v>II</v>
      </c>
      <c r="C40" s="56">
        <f t="shared" si="2"/>
        <v>53318.8024</v>
      </c>
      <c r="D40" s="12" t="str">
        <f t="shared" si="3"/>
        <v>vis</v>
      </c>
      <c r="E40" s="64">
        <f>VLOOKUP(C40,Active!C$21:E$968,3,FALSE)</f>
        <v>42958.500046118206</v>
      </c>
      <c r="F40" s="5" t="s">
        <v>87</v>
      </c>
      <c r="G40" s="12" t="str">
        <f t="shared" si="4"/>
        <v>53318.8024</v>
      </c>
      <c r="H40" s="56">
        <f t="shared" si="5"/>
        <v>-3013.5</v>
      </c>
      <c r="I40" s="65" t="s">
        <v>196</v>
      </c>
      <c r="J40" s="66" t="s">
        <v>197</v>
      </c>
      <c r="K40" s="65">
        <v>-3013.5</v>
      </c>
      <c r="L40" s="65" t="s">
        <v>198</v>
      </c>
      <c r="M40" s="66" t="s">
        <v>92</v>
      </c>
      <c r="N40" s="66" t="s">
        <v>93</v>
      </c>
      <c r="O40" s="67" t="s">
        <v>199</v>
      </c>
      <c r="P40" s="68" t="s">
        <v>200</v>
      </c>
    </row>
    <row r="41" spans="1:16" ht="12.75" customHeight="1" thickBot="1" x14ac:dyDescent="0.25">
      <c r="A41" s="56" t="str">
        <f t="shared" si="0"/>
        <v>IBVS 5690 </v>
      </c>
      <c r="B41" s="5" t="str">
        <f t="shared" si="1"/>
        <v>I</v>
      </c>
      <c r="C41" s="56">
        <f t="shared" si="2"/>
        <v>53320.943200000002</v>
      </c>
      <c r="D41" s="12" t="str">
        <f t="shared" si="3"/>
        <v>vis</v>
      </c>
      <c r="E41" s="64">
        <f>VLOOKUP(C41,Active!C$21:E$968,3,FALSE)</f>
        <v>42964.000315505</v>
      </c>
      <c r="F41" s="5" t="s">
        <v>87</v>
      </c>
      <c r="G41" s="12" t="str">
        <f t="shared" si="4"/>
        <v>53320.9432</v>
      </c>
      <c r="H41" s="56">
        <f t="shared" si="5"/>
        <v>-3008</v>
      </c>
      <c r="I41" s="65" t="s">
        <v>201</v>
      </c>
      <c r="J41" s="66" t="s">
        <v>202</v>
      </c>
      <c r="K41" s="65">
        <v>-3008</v>
      </c>
      <c r="L41" s="65" t="s">
        <v>203</v>
      </c>
      <c r="M41" s="66" t="s">
        <v>92</v>
      </c>
      <c r="N41" s="66" t="s">
        <v>93</v>
      </c>
      <c r="O41" s="67" t="s">
        <v>204</v>
      </c>
      <c r="P41" s="68" t="s">
        <v>205</v>
      </c>
    </row>
    <row r="42" spans="1:16" ht="12.75" customHeight="1" thickBot="1" x14ac:dyDescent="0.25">
      <c r="A42" s="56" t="str">
        <f t="shared" si="0"/>
        <v>IBVS 5690 </v>
      </c>
      <c r="B42" s="5" t="str">
        <f t="shared" si="1"/>
        <v>II</v>
      </c>
      <c r="C42" s="56">
        <f t="shared" si="2"/>
        <v>53353.832000000002</v>
      </c>
      <c r="D42" s="12" t="str">
        <f t="shared" si="3"/>
        <v>vis</v>
      </c>
      <c r="E42" s="64">
        <f>VLOOKUP(C42,Active!C$21:E$968,3,FALSE)</f>
        <v>43048.500156596339</v>
      </c>
      <c r="F42" s="5" t="s">
        <v>87</v>
      </c>
      <c r="G42" s="12" t="str">
        <f t="shared" si="4"/>
        <v>53353.8320</v>
      </c>
      <c r="H42" s="56">
        <f t="shared" si="5"/>
        <v>-2923.5</v>
      </c>
      <c r="I42" s="65" t="s">
        <v>206</v>
      </c>
      <c r="J42" s="66" t="s">
        <v>207</v>
      </c>
      <c r="K42" s="65">
        <v>-2923.5</v>
      </c>
      <c r="L42" s="65" t="s">
        <v>198</v>
      </c>
      <c r="M42" s="66" t="s">
        <v>92</v>
      </c>
      <c r="N42" s="66" t="s">
        <v>93</v>
      </c>
      <c r="O42" s="67" t="s">
        <v>204</v>
      </c>
      <c r="P42" s="68" t="s">
        <v>205</v>
      </c>
    </row>
    <row r="43" spans="1:16" ht="12.75" customHeight="1" thickBot="1" x14ac:dyDescent="0.25">
      <c r="A43" s="56" t="str">
        <f t="shared" ref="A43:A63" si="6">P43</f>
        <v>IBVS 5741 </v>
      </c>
      <c r="B43" s="5" t="str">
        <f t="shared" ref="B43:B63" si="7">IF(H43=INT(H43),"I","II")</f>
        <v>II</v>
      </c>
      <c r="C43" s="56">
        <f t="shared" ref="C43:C63" si="8">1*G43</f>
        <v>53410.269099999998</v>
      </c>
      <c r="D43" s="12" t="str">
        <f t="shared" ref="D43:D63" si="9">VLOOKUP(F43,I$1:J$5,2,FALSE)</f>
        <v>vis</v>
      </c>
      <c r="E43" s="64">
        <f>VLOOKUP(C43,Active!C$21:E$968,3,FALSE)</f>
        <v>43193.501676312953</v>
      </c>
      <c r="F43" s="5" t="s">
        <v>87</v>
      </c>
      <c r="G43" s="12" t="str">
        <f t="shared" ref="G43:G63" si="10">MID(I43,3,LEN(I43)-3)</f>
        <v>53410.2691</v>
      </c>
      <c r="H43" s="56">
        <f t="shared" ref="H43:H63" si="11">1*K43</f>
        <v>-2778.5</v>
      </c>
      <c r="I43" s="65" t="s">
        <v>208</v>
      </c>
      <c r="J43" s="66" t="s">
        <v>209</v>
      </c>
      <c r="K43" s="65">
        <v>-2778.5</v>
      </c>
      <c r="L43" s="65" t="s">
        <v>210</v>
      </c>
      <c r="M43" s="66" t="s">
        <v>92</v>
      </c>
      <c r="N43" s="66" t="s">
        <v>93</v>
      </c>
      <c r="O43" s="67" t="s">
        <v>211</v>
      </c>
      <c r="P43" s="68" t="s">
        <v>212</v>
      </c>
    </row>
    <row r="44" spans="1:16" ht="12.75" customHeight="1" thickBot="1" x14ac:dyDescent="0.25">
      <c r="A44" s="56" t="str">
        <f t="shared" si="6"/>
        <v>IBVS 5741 </v>
      </c>
      <c r="B44" s="5" t="str">
        <f t="shared" si="7"/>
        <v>I</v>
      </c>
      <c r="C44" s="56">
        <f t="shared" si="8"/>
        <v>53410.464500000002</v>
      </c>
      <c r="D44" s="12" t="str">
        <f t="shared" si="9"/>
        <v>vis</v>
      </c>
      <c r="E44" s="64">
        <f>VLOOKUP(C44,Active!C$21:E$968,3,FALSE)</f>
        <v>43194.00370949597</v>
      </c>
      <c r="F44" s="5" t="s">
        <v>87</v>
      </c>
      <c r="G44" s="12" t="str">
        <f t="shared" si="10"/>
        <v>53410.4645</v>
      </c>
      <c r="H44" s="56">
        <f t="shared" si="11"/>
        <v>-2778</v>
      </c>
      <c r="I44" s="65" t="s">
        <v>213</v>
      </c>
      <c r="J44" s="66" t="s">
        <v>214</v>
      </c>
      <c r="K44" s="65">
        <v>-2778</v>
      </c>
      <c r="L44" s="65" t="s">
        <v>164</v>
      </c>
      <c r="M44" s="66" t="s">
        <v>92</v>
      </c>
      <c r="N44" s="66" t="s">
        <v>93</v>
      </c>
      <c r="O44" s="67" t="s">
        <v>211</v>
      </c>
      <c r="P44" s="68" t="s">
        <v>212</v>
      </c>
    </row>
    <row r="45" spans="1:16" ht="12.75" customHeight="1" thickBot="1" x14ac:dyDescent="0.25">
      <c r="A45" s="56" t="str">
        <f t="shared" si="6"/>
        <v>IBVS 5741 </v>
      </c>
      <c r="B45" s="5" t="str">
        <f t="shared" si="7"/>
        <v>II</v>
      </c>
      <c r="C45" s="56">
        <f t="shared" si="8"/>
        <v>53464.371200000001</v>
      </c>
      <c r="D45" s="12" t="str">
        <f t="shared" si="9"/>
        <v>vis</v>
      </c>
      <c r="E45" s="64">
        <f>VLOOKUP(C45,Active!C$21:E$968,3,FALSE)</f>
        <v>43332.503976570428</v>
      </c>
      <c r="F45" s="5" t="s">
        <v>87</v>
      </c>
      <c r="G45" s="12" t="str">
        <f t="shared" si="10"/>
        <v>53464.3712</v>
      </c>
      <c r="H45" s="56">
        <f t="shared" si="11"/>
        <v>-2639.5</v>
      </c>
      <c r="I45" s="65" t="s">
        <v>215</v>
      </c>
      <c r="J45" s="66" t="s">
        <v>216</v>
      </c>
      <c r="K45" s="65">
        <v>-2639.5</v>
      </c>
      <c r="L45" s="65" t="s">
        <v>164</v>
      </c>
      <c r="M45" s="66" t="s">
        <v>92</v>
      </c>
      <c r="N45" s="66" t="s">
        <v>93</v>
      </c>
      <c r="O45" s="67" t="s">
        <v>211</v>
      </c>
      <c r="P45" s="68" t="s">
        <v>212</v>
      </c>
    </row>
    <row r="46" spans="1:16" ht="12.75" customHeight="1" thickBot="1" x14ac:dyDescent="0.25">
      <c r="A46" s="56" t="str">
        <f t="shared" si="6"/>
        <v>BAVM 178 </v>
      </c>
      <c r="B46" s="5" t="str">
        <f t="shared" si="7"/>
        <v>II</v>
      </c>
      <c r="C46" s="56">
        <f t="shared" si="8"/>
        <v>53768.348700000002</v>
      </c>
      <c r="D46" s="12" t="str">
        <f t="shared" si="9"/>
        <v>vis</v>
      </c>
      <c r="E46" s="64">
        <f>VLOOKUP(C46,Active!C$21:E$968,3,FALSE)</f>
        <v>44113.500864427158</v>
      </c>
      <c r="F46" s="5" t="s">
        <v>87</v>
      </c>
      <c r="G46" s="12" t="str">
        <f t="shared" si="10"/>
        <v>53768.3487</v>
      </c>
      <c r="H46" s="56">
        <f t="shared" si="11"/>
        <v>-1858.5</v>
      </c>
      <c r="I46" s="65" t="s">
        <v>217</v>
      </c>
      <c r="J46" s="66" t="s">
        <v>218</v>
      </c>
      <c r="K46" s="65">
        <v>-1858.5</v>
      </c>
      <c r="L46" s="65" t="s">
        <v>219</v>
      </c>
      <c r="M46" s="66" t="s">
        <v>140</v>
      </c>
      <c r="N46" s="66" t="s">
        <v>220</v>
      </c>
      <c r="O46" s="67" t="s">
        <v>221</v>
      </c>
      <c r="P46" s="68" t="s">
        <v>222</v>
      </c>
    </row>
    <row r="47" spans="1:16" ht="12.75" customHeight="1" thickBot="1" x14ac:dyDescent="0.25">
      <c r="A47" s="56" t="str">
        <f t="shared" si="6"/>
        <v>BAVM 178 </v>
      </c>
      <c r="B47" s="5" t="str">
        <f t="shared" si="7"/>
        <v>I</v>
      </c>
      <c r="C47" s="56">
        <f t="shared" si="8"/>
        <v>53768.541599999997</v>
      </c>
      <c r="D47" s="12" t="str">
        <f t="shared" si="9"/>
        <v>vis</v>
      </c>
      <c r="E47" s="64">
        <f>VLOOKUP(C47,Active!C$21:E$968,3,FALSE)</f>
        <v>44113.996474462983</v>
      </c>
      <c r="F47" s="5" t="s">
        <v>87</v>
      </c>
      <c r="G47" s="12" t="str">
        <f t="shared" si="10"/>
        <v>53768.5416</v>
      </c>
      <c r="H47" s="56">
        <f t="shared" si="11"/>
        <v>-1858</v>
      </c>
      <c r="I47" s="65" t="s">
        <v>223</v>
      </c>
      <c r="J47" s="66" t="s">
        <v>224</v>
      </c>
      <c r="K47" s="65" t="s">
        <v>225</v>
      </c>
      <c r="L47" s="65" t="s">
        <v>226</v>
      </c>
      <c r="M47" s="66" t="s">
        <v>140</v>
      </c>
      <c r="N47" s="66" t="s">
        <v>220</v>
      </c>
      <c r="O47" s="67" t="s">
        <v>221</v>
      </c>
      <c r="P47" s="68" t="s">
        <v>222</v>
      </c>
    </row>
    <row r="48" spans="1:16" ht="12.75" customHeight="1" thickBot="1" x14ac:dyDescent="0.25">
      <c r="A48" s="56" t="str">
        <f t="shared" si="6"/>
        <v>BAVM 186 </v>
      </c>
      <c r="B48" s="5" t="str">
        <f t="shared" si="7"/>
        <v>II</v>
      </c>
      <c r="C48" s="56">
        <f t="shared" si="8"/>
        <v>54149.393600000003</v>
      </c>
      <c r="D48" s="12" t="str">
        <f t="shared" si="9"/>
        <v>vis</v>
      </c>
      <c r="E48" s="64">
        <f>VLOOKUP(C48,Active!C$21:E$968,3,FALSE)</f>
        <v>45092.503853246002</v>
      </c>
      <c r="F48" s="5" t="s">
        <v>87</v>
      </c>
      <c r="G48" s="12" t="str">
        <f t="shared" si="10"/>
        <v>54149.3936</v>
      </c>
      <c r="H48" s="56">
        <f t="shared" si="11"/>
        <v>-879.5</v>
      </c>
      <c r="I48" s="65" t="s">
        <v>227</v>
      </c>
      <c r="J48" s="66" t="s">
        <v>228</v>
      </c>
      <c r="K48" s="65" t="s">
        <v>229</v>
      </c>
      <c r="L48" s="65" t="s">
        <v>198</v>
      </c>
      <c r="M48" s="66" t="s">
        <v>140</v>
      </c>
      <c r="N48" s="66" t="s">
        <v>220</v>
      </c>
      <c r="O48" s="67" t="s">
        <v>221</v>
      </c>
      <c r="P48" s="68" t="s">
        <v>230</v>
      </c>
    </row>
    <row r="49" spans="1:16" ht="12.75" customHeight="1" thickBot="1" x14ac:dyDescent="0.25">
      <c r="A49" s="56" t="str">
        <f t="shared" si="6"/>
        <v>BAVM 186 </v>
      </c>
      <c r="B49" s="5" t="str">
        <f t="shared" si="7"/>
        <v>II</v>
      </c>
      <c r="C49" s="56">
        <f t="shared" si="8"/>
        <v>54153.286</v>
      </c>
      <c r="D49" s="12" t="str">
        <f t="shared" si="9"/>
        <v>vis</v>
      </c>
      <c r="E49" s="64">
        <f>VLOOKUP(C49,Active!C$21:E$968,3,FALSE)</f>
        <v>45102.50443646776</v>
      </c>
      <c r="F49" s="5" t="s">
        <v>87</v>
      </c>
      <c r="G49" s="12" t="str">
        <f t="shared" si="10"/>
        <v>54153.2860</v>
      </c>
      <c r="H49" s="56">
        <f t="shared" si="11"/>
        <v>-869.5</v>
      </c>
      <c r="I49" s="65" t="s">
        <v>231</v>
      </c>
      <c r="J49" s="66" t="s">
        <v>232</v>
      </c>
      <c r="K49" s="65" t="s">
        <v>233</v>
      </c>
      <c r="L49" s="65" t="s">
        <v>234</v>
      </c>
      <c r="M49" s="66" t="s">
        <v>140</v>
      </c>
      <c r="N49" s="66" t="s">
        <v>220</v>
      </c>
      <c r="O49" s="67" t="s">
        <v>221</v>
      </c>
      <c r="P49" s="68" t="s">
        <v>230</v>
      </c>
    </row>
    <row r="50" spans="1:16" ht="12.75" customHeight="1" thickBot="1" x14ac:dyDescent="0.25">
      <c r="A50" s="56" t="str">
        <f t="shared" si="6"/>
        <v>BAVM 186 </v>
      </c>
      <c r="B50" s="5" t="str">
        <f t="shared" si="7"/>
        <v>II</v>
      </c>
      <c r="C50" s="56">
        <f t="shared" si="8"/>
        <v>54200.381999999998</v>
      </c>
      <c r="D50" s="12" t="str">
        <f t="shared" si="9"/>
        <v>vis</v>
      </c>
      <c r="E50" s="64">
        <f>VLOOKUP(C50,Active!C$21:E$968,3,FALSE)</f>
        <v>45223.506252162995</v>
      </c>
      <c r="F50" s="5" t="s">
        <v>87</v>
      </c>
      <c r="G50" s="12" t="str">
        <f t="shared" si="10"/>
        <v>54200.3820</v>
      </c>
      <c r="H50" s="56">
        <f t="shared" si="11"/>
        <v>-748.5</v>
      </c>
      <c r="I50" s="65" t="s">
        <v>235</v>
      </c>
      <c r="J50" s="66" t="s">
        <v>236</v>
      </c>
      <c r="K50" s="65" t="s">
        <v>237</v>
      </c>
      <c r="L50" s="65" t="s">
        <v>238</v>
      </c>
      <c r="M50" s="66" t="s">
        <v>140</v>
      </c>
      <c r="N50" s="66" t="s">
        <v>220</v>
      </c>
      <c r="O50" s="67" t="s">
        <v>221</v>
      </c>
      <c r="P50" s="68" t="s">
        <v>230</v>
      </c>
    </row>
    <row r="51" spans="1:16" ht="12.75" customHeight="1" thickBot="1" x14ac:dyDescent="0.25">
      <c r="A51" s="56" t="str">
        <f t="shared" si="6"/>
        <v>IBVS 5894 </v>
      </c>
      <c r="B51" s="5" t="str">
        <f t="shared" si="7"/>
        <v>I</v>
      </c>
      <c r="C51" s="56">
        <f t="shared" si="8"/>
        <v>54888.717299999997</v>
      </c>
      <c r="D51" s="12" t="str">
        <f t="shared" si="9"/>
        <v>vis</v>
      </c>
      <c r="E51" s="64">
        <f>VLOOKUP(C51,Active!C$21:E$968,3,FALSE)</f>
        <v>46992.017826545736</v>
      </c>
      <c r="F51" s="5" t="s">
        <v>87</v>
      </c>
      <c r="G51" s="12" t="str">
        <f t="shared" si="10"/>
        <v>54888.7173</v>
      </c>
      <c r="H51" s="56">
        <f t="shared" si="11"/>
        <v>1020</v>
      </c>
      <c r="I51" s="65" t="s">
        <v>239</v>
      </c>
      <c r="J51" s="66" t="s">
        <v>240</v>
      </c>
      <c r="K51" s="65" t="s">
        <v>241</v>
      </c>
      <c r="L51" s="65" t="s">
        <v>242</v>
      </c>
      <c r="M51" s="66" t="s">
        <v>140</v>
      </c>
      <c r="N51" s="66" t="s">
        <v>87</v>
      </c>
      <c r="O51" s="67" t="s">
        <v>154</v>
      </c>
      <c r="P51" s="68" t="s">
        <v>243</v>
      </c>
    </row>
    <row r="52" spans="1:16" ht="12.75" customHeight="1" thickBot="1" x14ac:dyDescent="0.25">
      <c r="A52" s="56" t="str">
        <f t="shared" si="6"/>
        <v> JAAVSO 38;85 </v>
      </c>
      <c r="B52" s="5" t="str">
        <f t="shared" si="7"/>
        <v>II</v>
      </c>
      <c r="C52" s="56">
        <f t="shared" si="8"/>
        <v>54890.465199999999</v>
      </c>
      <c r="D52" s="12" t="str">
        <f t="shared" si="9"/>
        <v>vis</v>
      </c>
      <c r="E52" s="64">
        <f>VLOOKUP(C52,Active!C$21:E$968,3,FALSE)</f>
        <v>46996.508634122896</v>
      </c>
      <c r="F52" s="5" t="s">
        <v>87</v>
      </c>
      <c r="G52" s="12" t="str">
        <f t="shared" si="10"/>
        <v>54890.4652</v>
      </c>
      <c r="H52" s="56">
        <f t="shared" si="11"/>
        <v>1024.5</v>
      </c>
      <c r="I52" s="65" t="s">
        <v>244</v>
      </c>
      <c r="J52" s="66" t="s">
        <v>245</v>
      </c>
      <c r="K52" s="65" t="s">
        <v>246</v>
      </c>
      <c r="L52" s="65" t="s">
        <v>153</v>
      </c>
      <c r="M52" s="66" t="s">
        <v>140</v>
      </c>
      <c r="N52" s="66" t="s">
        <v>247</v>
      </c>
      <c r="O52" s="67" t="s">
        <v>248</v>
      </c>
      <c r="P52" s="67" t="s">
        <v>249</v>
      </c>
    </row>
    <row r="53" spans="1:16" ht="12.75" customHeight="1" thickBot="1" x14ac:dyDescent="0.25">
      <c r="A53" s="56" t="str">
        <f t="shared" si="6"/>
        <v>OEJV 0142 </v>
      </c>
      <c r="B53" s="5" t="str">
        <f t="shared" si="7"/>
        <v>II</v>
      </c>
      <c r="C53" s="56">
        <f t="shared" si="8"/>
        <v>55601.567000000003</v>
      </c>
      <c r="D53" s="12" t="str">
        <f t="shared" si="9"/>
        <v>vis</v>
      </c>
      <c r="E53" s="64">
        <f>VLOOKUP(C53,Active!C$21:E$968,3,FALSE)</f>
        <v>48823.513240547138</v>
      </c>
      <c r="F53" s="5" t="s">
        <v>87</v>
      </c>
      <c r="G53" s="12" t="str">
        <f t="shared" si="10"/>
        <v>55601.567</v>
      </c>
      <c r="H53" s="56">
        <f t="shared" si="11"/>
        <v>2851.5</v>
      </c>
      <c r="I53" s="65" t="s">
        <v>250</v>
      </c>
      <c r="J53" s="66" t="s">
        <v>251</v>
      </c>
      <c r="K53" s="65" t="s">
        <v>252</v>
      </c>
      <c r="L53" s="65" t="s">
        <v>149</v>
      </c>
      <c r="M53" s="66" t="s">
        <v>140</v>
      </c>
      <c r="N53" s="66" t="s">
        <v>141</v>
      </c>
      <c r="O53" s="67" t="s">
        <v>94</v>
      </c>
      <c r="P53" s="68" t="s">
        <v>253</v>
      </c>
    </row>
    <row r="54" spans="1:16" ht="12.75" customHeight="1" thickBot="1" x14ac:dyDescent="0.25">
      <c r="A54" s="56" t="str">
        <f t="shared" si="6"/>
        <v>BAVM 220 </v>
      </c>
      <c r="B54" s="5" t="str">
        <f t="shared" si="7"/>
        <v>II</v>
      </c>
      <c r="C54" s="56">
        <f t="shared" si="8"/>
        <v>55621.419699999999</v>
      </c>
      <c r="D54" s="12" t="str">
        <f t="shared" si="9"/>
        <v>vis</v>
      </c>
      <c r="E54" s="64">
        <f>VLOOKUP(C54,Active!C$21:E$968,3,FALSE)</f>
        <v>48874.519966096064</v>
      </c>
      <c r="F54" s="5" t="s">
        <v>87</v>
      </c>
      <c r="G54" s="12" t="str">
        <f t="shared" si="10"/>
        <v>55621.4197</v>
      </c>
      <c r="H54" s="56">
        <f t="shared" si="11"/>
        <v>2902.5</v>
      </c>
      <c r="I54" s="65" t="s">
        <v>254</v>
      </c>
      <c r="J54" s="66" t="s">
        <v>255</v>
      </c>
      <c r="K54" s="65" t="s">
        <v>256</v>
      </c>
      <c r="L54" s="65" t="s">
        <v>257</v>
      </c>
      <c r="M54" s="66" t="s">
        <v>140</v>
      </c>
      <c r="N54" s="66" t="s">
        <v>220</v>
      </c>
      <c r="O54" s="67" t="s">
        <v>221</v>
      </c>
      <c r="P54" s="68" t="s">
        <v>258</v>
      </c>
    </row>
    <row r="55" spans="1:16" ht="12.75" customHeight="1" thickBot="1" x14ac:dyDescent="0.25">
      <c r="A55" s="56" t="str">
        <f t="shared" si="6"/>
        <v>BAVM 220 </v>
      </c>
      <c r="B55" s="5" t="str">
        <f t="shared" si="7"/>
        <v>II</v>
      </c>
      <c r="C55" s="56">
        <f t="shared" si="8"/>
        <v>55625.312599999997</v>
      </c>
      <c r="D55" s="12" t="str">
        <f t="shared" si="9"/>
        <v>vis</v>
      </c>
      <c r="E55" s="64">
        <f>VLOOKUP(C55,Active!C$21:E$968,3,FALSE)</f>
        <v>48884.521833947263</v>
      </c>
      <c r="F55" s="5" t="s">
        <v>87</v>
      </c>
      <c r="G55" s="12" t="str">
        <f t="shared" si="10"/>
        <v>55625.3126</v>
      </c>
      <c r="H55" s="56">
        <f t="shared" si="11"/>
        <v>2912.5</v>
      </c>
      <c r="I55" s="65" t="s">
        <v>259</v>
      </c>
      <c r="J55" s="66" t="s">
        <v>260</v>
      </c>
      <c r="K55" s="65" t="s">
        <v>261</v>
      </c>
      <c r="L55" s="65" t="s">
        <v>262</v>
      </c>
      <c r="M55" s="66" t="s">
        <v>140</v>
      </c>
      <c r="N55" s="66" t="s">
        <v>220</v>
      </c>
      <c r="O55" s="67" t="s">
        <v>221</v>
      </c>
      <c r="P55" s="68" t="s">
        <v>258</v>
      </c>
    </row>
    <row r="56" spans="1:16" ht="12.75" customHeight="1" thickBot="1" x14ac:dyDescent="0.25">
      <c r="A56" s="56" t="str">
        <f t="shared" si="6"/>
        <v>BAVM 220 </v>
      </c>
      <c r="B56" s="5" t="str">
        <f t="shared" si="7"/>
        <v>I</v>
      </c>
      <c r="C56" s="56">
        <f t="shared" si="8"/>
        <v>55625.504699999998</v>
      </c>
      <c r="D56" s="12" t="str">
        <f t="shared" si="9"/>
        <v>vis</v>
      </c>
      <c r="E56" s="64">
        <f>VLOOKUP(C56,Active!C$21:E$968,3,FALSE)</f>
        <v>48885.015388576001</v>
      </c>
      <c r="F56" s="5" t="s">
        <v>87</v>
      </c>
      <c r="G56" s="12" t="str">
        <f t="shared" si="10"/>
        <v>55625.5047</v>
      </c>
      <c r="H56" s="56">
        <f t="shared" si="11"/>
        <v>2913</v>
      </c>
      <c r="I56" s="65" t="s">
        <v>263</v>
      </c>
      <c r="J56" s="66" t="s">
        <v>264</v>
      </c>
      <c r="K56" s="65" t="s">
        <v>265</v>
      </c>
      <c r="L56" s="65" t="s">
        <v>266</v>
      </c>
      <c r="M56" s="66" t="s">
        <v>140</v>
      </c>
      <c r="N56" s="66" t="s">
        <v>220</v>
      </c>
      <c r="O56" s="67" t="s">
        <v>221</v>
      </c>
      <c r="P56" s="68" t="s">
        <v>258</v>
      </c>
    </row>
    <row r="57" spans="1:16" ht="12.75" customHeight="1" thickBot="1" x14ac:dyDescent="0.25">
      <c r="A57" s="56" t="str">
        <f t="shared" si="6"/>
        <v>IBVS 5992 </v>
      </c>
      <c r="B57" s="5" t="str">
        <f t="shared" si="7"/>
        <v>I</v>
      </c>
      <c r="C57" s="56">
        <f t="shared" si="8"/>
        <v>55638.737800000003</v>
      </c>
      <c r="D57" s="12" t="str">
        <f t="shared" si="9"/>
        <v>vis</v>
      </c>
      <c r="E57" s="64">
        <f>VLOOKUP(C57,Active!C$21:E$968,3,FALSE)</f>
        <v>48919.014648115604</v>
      </c>
      <c r="F57" s="5" t="s">
        <v>87</v>
      </c>
      <c r="G57" s="12" t="str">
        <f t="shared" si="10"/>
        <v>55638.7378</v>
      </c>
      <c r="H57" s="56">
        <f t="shared" si="11"/>
        <v>2947</v>
      </c>
      <c r="I57" s="65" t="s">
        <v>267</v>
      </c>
      <c r="J57" s="66" t="s">
        <v>268</v>
      </c>
      <c r="K57" s="65" t="s">
        <v>269</v>
      </c>
      <c r="L57" s="65" t="s">
        <v>270</v>
      </c>
      <c r="M57" s="66" t="s">
        <v>140</v>
      </c>
      <c r="N57" s="66" t="s">
        <v>87</v>
      </c>
      <c r="O57" s="67" t="s">
        <v>154</v>
      </c>
      <c r="P57" s="68" t="s">
        <v>271</v>
      </c>
    </row>
    <row r="58" spans="1:16" ht="12.75" customHeight="1" thickBot="1" x14ac:dyDescent="0.25">
      <c r="A58" s="56" t="str">
        <f t="shared" si="6"/>
        <v>OEJV 0147 </v>
      </c>
      <c r="B58" s="5" t="str">
        <f t="shared" si="7"/>
        <v>I</v>
      </c>
      <c r="C58" s="56">
        <f t="shared" si="8"/>
        <v>55941.55</v>
      </c>
      <c r="D58" s="12" t="str">
        <f t="shared" si="9"/>
        <v>vis</v>
      </c>
      <c r="E58" s="64">
        <f>VLOOKUP(C58,Active!C$21:E$968,3,FALSE)</f>
        <v>49697.017578612271</v>
      </c>
      <c r="F58" s="5" t="s">
        <v>87</v>
      </c>
      <c r="G58" s="12" t="str">
        <f t="shared" si="10"/>
        <v>55941.55</v>
      </c>
      <c r="H58" s="56">
        <f t="shared" si="11"/>
        <v>3725</v>
      </c>
      <c r="I58" s="65" t="s">
        <v>272</v>
      </c>
      <c r="J58" s="66" t="s">
        <v>273</v>
      </c>
      <c r="K58" s="65" t="s">
        <v>274</v>
      </c>
      <c r="L58" s="65" t="s">
        <v>275</v>
      </c>
      <c r="M58" s="66" t="s">
        <v>140</v>
      </c>
      <c r="N58" s="66" t="s">
        <v>141</v>
      </c>
      <c r="O58" s="67" t="s">
        <v>94</v>
      </c>
      <c r="P58" s="68" t="s">
        <v>276</v>
      </c>
    </row>
    <row r="59" spans="1:16" ht="12.75" customHeight="1" thickBot="1" x14ac:dyDescent="0.25">
      <c r="A59" s="56" t="str">
        <f t="shared" si="6"/>
        <v>IBVS 6029 </v>
      </c>
      <c r="B59" s="5" t="str">
        <f t="shared" si="7"/>
        <v>II</v>
      </c>
      <c r="C59" s="56">
        <f t="shared" si="8"/>
        <v>55987.671699999999</v>
      </c>
      <c r="D59" s="12" t="str">
        <f t="shared" si="9"/>
        <v>vis</v>
      </c>
      <c r="E59" s="64">
        <f>VLOOKUP(C59,Active!C$21:E$968,3,FALSE)</f>
        <v>49815.516165391418</v>
      </c>
      <c r="F59" s="5" t="s">
        <v>87</v>
      </c>
      <c r="G59" s="12" t="str">
        <f t="shared" si="10"/>
        <v>55987.6717</v>
      </c>
      <c r="H59" s="56">
        <f t="shared" si="11"/>
        <v>3843.5</v>
      </c>
      <c r="I59" s="65" t="s">
        <v>277</v>
      </c>
      <c r="J59" s="66" t="s">
        <v>278</v>
      </c>
      <c r="K59" s="65" t="s">
        <v>279</v>
      </c>
      <c r="L59" s="65" t="s">
        <v>280</v>
      </c>
      <c r="M59" s="66" t="s">
        <v>140</v>
      </c>
      <c r="N59" s="66" t="s">
        <v>87</v>
      </c>
      <c r="O59" s="67" t="s">
        <v>154</v>
      </c>
      <c r="P59" s="68" t="s">
        <v>281</v>
      </c>
    </row>
    <row r="60" spans="1:16" ht="12.75" customHeight="1" thickBot="1" x14ac:dyDescent="0.25">
      <c r="A60" s="56" t="str">
        <f t="shared" si="6"/>
        <v>BAVM 238 </v>
      </c>
      <c r="B60" s="5" t="str">
        <f t="shared" si="7"/>
        <v>I</v>
      </c>
      <c r="C60" s="56">
        <f t="shared" si="8"/>
        <v>56713.3747</v>
      </c>
      <c r="D60" s="12" t="str">
        <f t="shared" si="9"/>
        <v>vis</v>
      </c>
      <c r="E60" s="64">
        <f>VLOOKUP(C60,Active!C$21:E$968,3,FALSE)</f>
        <v>51680.035034413944</v>
      </c>
      <c r="F60" s="5" t="s">
        <v>87</v>
      </c>
      <c r="G60" s="12" t="str">
        <f t="shared" si="10"/>
        <v>56713.3747</v>
      </c>
      <c r="H60" s="56">
        <f t="shared" si="11"/>
        <v>5708</v>
      </c>
      <c r="I60" s="65" t="s">
        <v>282</v>
      </c>
      <c r="J60" s="66" t="s">
        <v>283</v>
      </c>
      <c r="K60" s="65" t="s">
        <v>284</v>
      </c>
      <c r="L60" s="65" t="s">
        <v>285</v>
      </c>
      <c r="M60" s="66" t="s">
        <v>140</v>
      </c>
      <c r="N60" s="66" t="s">
        <v>220</v>
      </c>
      <c r="O60" s="67" t="s">
        <v>221</v>
      </c>
      <c r="P60" s="68" t="s">
        <v>286</v>
      </c>
    </row>
    <row r="61" spans="1:16" ht="12.75" customHeight="1" thickBot="1" x14ac:dyDescent="0.25">
      <c r="A61" s="56" t="str">
        <f t="shared" si="6"/>
        <v>BAVM 238 </v>
      </c>
      <c r="B61" s="5" t="str">
        <f t="shared" si="7"/>
        <v>II</v>
      </c>
      <c r="C61" s="56">
        <f t="shared" si="8"/>
        <v>56726.412300000004</v>
      </c>
      <c r="D61" s="12" t="str">
        <f t="shared" si="9"/>
        <v>vis</v>
      </c>
      <c r="E61" s="64">
        <f>VLOOKUP(C61,Active!C$21:E$968,3,FALSE)</f>
        <v>51713.532003844659</v>
      </c>
      <c r="F61" s="5" t="s">
        <v>87</v>
      </c>
      <c r="G61" s="12" t="str">
        <f t="shared" si="10"/>
        <v>56726.4123</v>
      </c>
      <c r="H61" s="56">
        <f t="shared" si="11"/>
        <v>5741.5</v>
      </c>
      <c r="I61" s="65" t="s">
        <v>287</v>
      </c>
      <c r="J61" s="66" t="s">
        <v>288</v>
      </c>
      <c r="K61" s="65" t="s">
        <v>289</v>
      </c>
      <c r="L61" s="65" t="s">
        <v>290</v>
      </c>
      <c r="M61" s="66" t="s">
        <v>140</v>
      </c>
      <c r="N61" s="66" t="s">
        <v>220</v>
      </c>
      <c r="O61" s="67" t="s">
        <v>221</v>
      </c>
      <c r="P61" s="68" t="s">
        <v>286</v>
      </c>
    </row>
    <row r="62" spans="1:16" ht="12.75" customHeight="1" thickBot="1" x14ac:dyDescent="0.25">
      <c r="A62" s="56" t="str">
        <f t="shared" si="6"/>
        <v>VSB 42 </v>
      </c>
      <c r="B62" s="5" t="str">
        <f t="shared" si="7"/>
        <v>I</v>
      </c>
      <c r="C62" s="56">
        <f t="shared" si="8"/>
        <v>52995.167399999998</v>
      </c>
      <c r="D62" s="12" t="str">
        <f t="shared" si="9"/>
        <v>vis</v>
      </c>
      <c r="E62" s="64">
        <f>VLOOKUP(C62,Active!C$21:E$968,3,FALSE)</f>
        <v>42126.997952043763</v>
      </c>
      <c r="F62" s="5" t="s">
        <v>87</v>
      </c>
      <c r="G62" s="12" t="str">
        <f t="shared" si="10"/>
        <v>52995.1674</v>
      </c>
      <c r="H62" s="56">
        <f t="shared" si="11"/>
        <v>-3845</v>
      </c>
      <c r="I62" s="65" t="s">
        <v>188</v>
      </c>
      <c r="J62" s="66" t="s">
        <v>189</v>
      </c>
      <c r="K62" s="65">
        <v>-3845</v>
      </c>
      <c r="L62" s="65" t="s">
        <v>190</v>
      </c>
      <c r="M62" s="66" t="s">
        <v>92</v>
      </c>
      <c r="N62" s="66" t="s">
        <v>93</v>
      </c>
      <c r="O62" s="67" t="s">
        <v>191</v>
      </c>
      <c r="P62" s="68" t="s">
        <v>192</v>
      </c>
    </row>
    <row r="63" spans="1:16" ht="12.75" customHeight="1" thickBot="1" x14ac:dyDescent="0.25">
      <c r="A63" s="56" t="str">
        <f t="shared" si="6"/>
        <v>VSB 59 </v>
      </c>
      <c r="B63" s="5" t="str">
        <f t="shared" si="7"/>
        <v>I</v>
      </c>
      <c r="C63" s="56">
        <f t="shared" si="8"/>
        <v>57009.182000000001</v>
      </c>
      <c r="D63" s="12" t="str">
        <f t="shared" si="9"/>
        <v>vis</v>
      </c>
      <c r="E63" s="64">
        <f>VLOOKUP(C63,Active!C$21:E$968,3,FALSE)</f>
        <v>52440.040563459035</v>
      </c>
      <c r="F63" s="5" t="s">
        <v>87</v>
      </c>
      <c r="G63" s="12" t="str">
        <f t="shared" si="10"/>
        <v>57009.1820</v>
      </c>
      <c r="H63" s="56">
        <f t="shared" si="11"/>
        <v>6468</v>
      </c>
      <c r="I63" s="65" t="s">
        <v>291</v>
      </c>
      <c r="J63" s="66" t="s">
        <v>292</v>
      </c>
      <c r="K63" s="65" t="s">
        <v>293</v>
      </c>
      <c r="L63" s="65" t="s">
        <v>294</v>
      </c>
      <c r="M63" s="66" t="s">
        <v>140</v>
      </c>
      <c r="N63" s="66" t="s">
        <v>87</v>
      </c>
      <c r="O63" s="67" t="s">
        <v>295</v>
      </c>
      <c r="P63" s="68" t="s">
        <v>296</v>
      </c>
    </row>
    <row r="64" spans="1:16" x14ac:dyDescent="0.2">
      <c r="B64" s="5"/>
      <c r="E64" s="64"/>
      <c r="F64" s="5"/>
    </row>
    <row r="65" spans="2:6" x14ac:dyDescent="0.2">
      <c r="B65" s="5"/>
      <c r="E65" s="64"/>
      <c r="F65" s="5"/>
    </row>
    <row r="66" spans="2:6" x14ac:dyDescent="0.2">
      <c r="B66" s="5"/>
      <c r="E66" s="64"/>
      <c r="F66" s="5"/>
    </row>
    <row r="67" spans="2:6" x14ac:dyDescent="0.2">
      <c r="B67" s="5"/>
      <c r="E67" s="64"/>
      <c r="F67" s="5"/>
    </row>
    <row r="68" spans="2:6" x14ac:dyDescent="0.2">
      <c r="B68" s="5"/>
      <c r="E68" s="64"/>
      <c r="F68" s="5"/>
    </row>
    <row r="69" spans="2:6" x14ac:dyDescent="0.2">
      <c r="B69" s="5"/>
      <c r="E69" s="64"/>
      <c r="F69" s="5"/>
    </row>
    <row r="70" spans="2:6" x14ac:dyDescent="0.2">
      <c r="B70" s="5"/>
      <c r="E70" s="64"/>
      <c r="F70" s="5"/>
    </row>
    <row r="71" spans="2:6" x14ac:dyDescent="0.2">
      <c r="B71" s="5"/>
      <c r="E71" s="64"/>
      <c r="F71" s="5"/>
    </row>
    <row r="72" spans="2:6" x14ac:dyDescent="0.2">
      <c r="B72" s="5"/>
      <c r="E72" s="64"/>
      <c r="F72" s="5"/>
    </row>
    <row r="73" spans="2:6" x14ac:dyDescent="0.2">
      <c r="B73" s="5"/>
      <c r="E73" s="64"/>
      <c r="F73" s="5"/>
    </row>
    <row r="74" spans="2:6" x14ac:dyDescent="0.2">
      <c r="B74" s="5"/>
      <c r="E74" s="64"/>
      <c r="F74" s="5"/>
    </row>
    <row r="75" spans="2:6" x14ac:dyDescent="0.2">
      <c r="B75" s="5"/>
      <c r="E75" s="64"/>
      <c r="F75" s="5"/>
    </row>
    <row r="76" spans="2:6" x14ac:dyDescent="0.2">
      <c r="B76" s="5"/>
      <c r="E76" s="64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</sheetData>
  <phoneticPr fontId="8" type="noConversion"/>
  <hyperlinks>
    <hyperlink ref="P23" r:id="rId1" display="http://www.konkoly.hu/cgi-bin/IBVS?5583"/>
    <hyperlink ref="P24" r:id="rId2" display="http://var.astro.cz/oejv/issues/oejv0074.pdf"/>
    <hyperlink ref="P25" r:id="rId3" display="http://www.konkoly.hu/cgi-bin/IBVS?5583"/>
    <hyperlink ref="P28" r:id="rId4" display="http://www.konkoly.hu/cgi-bin/IBVS?5583"/>
    <hyperlink ref="P29" r:id="rId5" display="http://var.astro.cz/oejv/issues/oejv0074.pdf"/>
    <hyperlink ref="P30" r:id="rId6" display="http://www.konkoly.hu/cgi-bin/IBVS?5583"/>
    <hyperlink ref="P31" r:id="rId7" display="http://var.astro.cz/oejv/issues/oejv0074.pdf"/>
    <hyperlink ref="P32" r:id="rId8" display="http://www.konkoly.hu/cgi-bin/IBVS?5583"/>
    <hyperlink ref="P33" r:id="rId9" display="http://www.konkoly.hu/cgi-bin/IBVS?5583"/>
    <hyperlink ref="P34" r:id="rId10" display="http://www.konkoly.hu/cgi-bin/IBVS?5583"/>
    <hyperlink ref="P35" r:id="rId11" display="http://www.konkoly.hu/cgi-bin/IBVS?5583"/>
    <hyperlink ref="P36" r:id="rId12" display="http://www.konkoly.hu/cgi-bin/IBVS?5583"/>
    <hyperlink ref="P37" r:id="rId13" display="http://www.konkoly.hu/cgi-bin/IBVS?5583"/>
    <hyperlink ref="P62" r:id="rId14" display="http://vsolj.cetus-net.org/no42.pdf"/>
    <hyperlink ref="P39" r:id="rId15" display="http://www.konkoly.hu/cgi-bin/IBVS?5583"/>
    <hyperlink ref="P40" r:id="rId16" display="http://www.konkoly.hu/cgi-bin/IBVS?5603"/>
    <hyperlink ref="P41" r:id="rId17" display="http://www.konkoly.hu/cgi-bin/IBVS?5690"/>
    <hyperlink ref="P42" r:id="rId18" display="http://www.konkoly.hu/cgi-bin/IBVS?5690"/>
    <hyperlink ref="P43" r:id="rId19" display="http://www.konkoly.hu/cgi-bin/IBVS?5741"/>
    <hyperlink ref="P44" r:id="rId20" display="http://www.konkoly.hu/cgi-bin/IBVS?5741"/>
    <hyperlink ref="P45" r:id="rId21" display="http://www.konkoly.hu/cgi-bin/IBVS?5741"/>
    <hyperlink ref="P46" r:id="rId22" display="http://www.bav-astro.de/sfs/BAVM_link.php?BAVMnr=178"/>
    <hyperlink ref="P47" r:id="rId23" display="http://www.bav-astro.de/sfs/BAVM_link.php?BAVMnr=178"/>
    <hyperlink ref="P48" r:id="rId24" display="http://www.bav-astro.de/sfs/BAVM_link.php?BAVMnr=186"/>
    <hyperlink ref="P49" r:id="rId25" display="http://www.bav-astro.de/sfs/BAVM_link.php?BAVMnr=186"/>
    <hyperlink ref="P50" r:id="rId26" display="http://www.bav-astro.de/sfs/BAVM_link.php?BAVMnr=186"/>
    <hyperlink ref="P51" r:id="rId27" display="http://www.konkoly.hu/cgi-bin/IBVS?5894"/>
    <hyperlink ref="P53" r:id="rId28" display="http://var.astro.cz/oejv/issues/oejv0142.pdf"/>
    <hyperlink ref="P54" r:id="rId29" display="http://www.bav-astro.de/sfs/BAVM_link.php?BAVMnr=220"/>
    <hyperlink ref="P55" r:id="rId30" display="http://www.bav-astro.de/sfs/BAVM_link.php?BAVMnr=220"/>
    <hyperlink ref="P56" r:id="rId31" display="http://www.bav-astro.de/sfs/BAVM_link.php?BAVMnr=220"/>
    <hyperlink ref="P57" r:id="rId32" display="http://www.konkoly.hu/cgi-bin/IBVS?5992"/>
    <hyperlink ref="P58" r:id="rId33" display="http://var.astro.cz/oejv/issues/oejv0147.pdf"/>
    <hyperlink ref="P59" r:id="rId34" display="http://www.konkoly.hu/cgi-bin/IBVS?6029"/>
    <hyperlink ref="P60" r:id="rId35" display="http://www.bav-astro.de/sfs/BAVM_link.php?BAVMnr=238"/>
    <hyperlink ref="P61" r:id="rId36" display="http://www.bav-astro.de/sfs/BAVM_link.php?BAVMnr=238"/>
    <hyperlink ref="P63" r:id="rId37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2024-01-29T03:23:28Z</dcterms:modified>
</cp:coreProperties>
</file>