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52A6C7D-03A4-4389-A06F-B5A5B78CEE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4" r:id="rId3"/>
  </sheets>
  <calcPr calcId="181029"/>
</workbook>
</file>

<file path=xl/calcChain.xml><?xml version="1.0" encoding="utf-8"?>
<calcChain xmlns="http://schemas.openxmlformats.org/spreadsheetml/2006/main">
  <c r="G13" i="4" l="1"/>
  <c r="C13" i="4"/>
  <c r="E13" i="4"/>
  <c r="G12" i="4"/>
  <c r="C12" i="4"/>
  <c r="G14" i="4"/>
  <c r="C14" i="4"/>
  <c r="E14" i="4"/>
  <c r="G11" i="4"/>
  <c r="C11" i="4"/>
  <c r="E11" i="4"/>
  <c r="H13" i="4"/>
  <c r="D13" i="4"/>
  <c r="B13" i="4"/>
  <c r="A13" i="4"/>
  <c r="H12" i="4"/>
  <c r="B12" i="4"/>
  <c r="D12" i="4"/>
  <c r="A12" i="4"/>
  <c r="H14" i="4"/>
  <c r="D14" i="4"/>
  <c r="B14" i="4"/>
  <c r="A14" i="4"/>
  <c r="H11" i="4"/>
  <c r="B11" i="4"/>
  <c r="D11" i="4"/>
  <c r="A11" i="4"/>
  <c r="C9" i="2"/>
  <c r="D9" i="2"/>
  <c r="Q26" i="2"/>
  <c r="Q25" i="2"/>
  <c r="Q24" i="1"/>
  <c r="Q24" i="2"/>
  <c r="F16" i="2"/>
  <c r="C17" i="2"/>
  <c r="Q23" i="2"/>
  <c r="Q23" i="1"/>
  <c r="C7" i="2"/>
  <c r="E26" i="2"/>
  <c r="F26" i="2"/>
  <c r="C8" i="2"/>
  <c r="Q21" i="2"/>
  <c r="E22" i="2"/>
  <c r="F22" i="2"/>
  <c r="Q22" i="2"/>
  <c r="E22" i="1"/>
  <c r="F22" i="1"/>
  <c r="Q22" i="1"/>
  <c r="C7" i="1"/>
  <c r="C8" i="1"/>
  <c r="E21" i="1"/>
  <c r="F21" i="1"/>
  <c r="C18" i="1"/>
  <c r="Q21" i="1"/>
  <c r="E23" i="1"/>
  <c r="F23" i="1"/>
  <c r="G23" i="1"/>
  <c r="N23" i="1"/>
  <c r="G21" i="1"/>
  <c r="G22" i="1"/>
  <c r="I22" i="1"/>
  <c r="E24" i="1"/>
  <c r="F24" i="1"/>
  <c r="G24" i="1"/>
  <c r="J24" i="1"/>
  <c r="G22" i="2"/>
  <c r="I22" i="2"/>
  <c r="E25" i="2"/>
  <c r="F25" i="2"/>
  <c r="G25" i="2"/>
  <c r="I25" i="2"/>
  <c r="E24" i="2"/>
  <c r="F24" i="2"/>
  <c r="E21" i="2"/>
  <c r="F21" i="2"/>
  <c r="G21" i="2"/>
  <c r="E23" i="2"/>
  <c r="F23" i="2"/>
  <c r="G23" i="2"/>
  <c r="I23" i="2"/>
  <c r="G26" i="2"/>
  <c r="I26" i="2"/>
  <c r="G24" i="2"/>
  <c r="I24" i="2"/>
  <c r="H21" i="2"/>
  <c r="C11" i="1"/>
  <c r="C12" i="1"/>
  <c r="C16" i="1"/>
  <c r="D18" i="1"/>
  <c r="H21" i="1"/>
  <c r="E12" i="4"/>
  <c r="O24" i="1"/>
  <c r="O23" i="1"/>
  <c r="O21" i="1"/>
  <c r="O22" i="1"/>
  <c r="C11" i="2"/>
  <c r="C12" i="2"/>
  <c r="C16" i="2" l="1"/>
  <c r="D18" i="2" s="1"/>
  <c r="O22" i="2"/>
  <c r="O24" i="2"/>
  <c r="O26" i="2"/>
  <c r="C15" i="2"/>
  <c r="O21" i="2"/>
  <c r="O23" i="2"/>
  <c r="O25" i="2"/>
  <c r="F17" i="2"/>
  <c r="C18" i="2" l="1"/>
  <c r="F18" i="2"/>
  <c r="F19" i="2" s="1"/>
</calcChain>
</file>

<file path=xl/sharedStrings.xml><?xml version="1.0" encoding="utf-8"?>
<sst xmlns="http://schemas.openxmlformats.org/spreadsheetml/2006/main" count="140" uniqueCount="85">
  <si>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</si>
  <si>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</si>
  <si>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</si>
  <si>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</si>
  <si>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</si>
  <si>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</si>
  <si>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</si>
  <si>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</si>
  <si>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</si>
  <si>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</si>
  <si>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</si>
  <si>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</si>
  <si>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</si>
  <si>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</si>
  <si>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</si>
  <si>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</si>
  <si>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</si>
  <si>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</si>
  <si>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</si>
  <si>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</si>
  <si>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</si>
  <si>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</si>
  <si>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</si>
  <si>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</si>
  <si>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</si>
  <si>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</si>
  <si>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</si>
  <si>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</si>
  <si>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</si>
  <si>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</si>
  <si>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</si>
  <si>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UY CMi</t>
  </si>
  <si>
    <t>Paschke A</t>
  </si>
  <si>
    <t>BBSAG Bull.106</t>
  </si>
  <si>
    <t>B</t>
  </si>
  <si>
    <t>Pashke</t>
  </si>
  <si>
    <t>BBSAG</t>
  </si>
  <si>
    <t>See page B</t>
  </si>
  <si>
    <t># of data points:</t>
  </si>
  <si>
    <t>UY CMi / ??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</si>
  <si>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</si>
  <si>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</si>
  <si>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</si>
  <si>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</si>
  <si>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</si>
  <si>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</si>
  <si>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</si>
  <si>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</si>
  <si>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EA</t>
  </si>
  <si>
    <t>OEJV 116</t>
  </si>
  <si>
    <t>I</t>
  </si>
  <si>
    <t>OEJV 0142</t>
  </si>
  <si>
    <t>OEJV 0147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</si>
  <si>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</si>
  <si>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</si>
  <si>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</si>
  <si>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</si>
  <si>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</si>
  <si>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</si>
  <si>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</si>
  <si>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</si>
  <si>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</si>
  <si>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</si>
  <si>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</si>
  <si>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2449391.68 </t>
  </si>
  <si>
    <t> 08.02.1994 04:19 </t>
  </si>
  <si>
    <t> -1.59 </t>
  </si>
  <si>
    <t>E </t>
  </si>
  <si>
    <t>?</t>
  </si>
  <si>
    <t> A.Paschke </t>
  </si>
  <si>
    <t> BBS 106 </t>
  </si>
  <si>
    <t>2452681.475 </t>
  </si>
  <si>
    <t> 10.02.2003 23:24 </t>
  </si>
  <si>
    <t> -0.273 </t>
  </si>
  <si>
    <t>C </t>
  </si>
  <si>
    <t>o</t>
  </si>
  <si>
    <t>OEJV 0116 </t>
  </si>
  <si>
    <t>2455578.58 </t>
  </si>
  <si>
    <t> 17.01.2011 01:55 </t>
  </si>
  <si>
    <t> -0.05 </t>
  </si>
  <si>
    <t>OEJV 0142 </t>
  </si>
  <si>
    <t>2455943.465 </t>
  </si>
  <si>
    <t> 16.01.2012 23:09 </t>
  </si>
  <si>
    <t> -0.060 </t>
  </si>
  <si>
    <t>OEJV 0147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</si>
</sst>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0" fontId="18" fillId="2" borderId="0" xfId="0" applyFont="1" applyFill="1" applyAlignment="1"/>
    <xf numFmtId="176" fontId="5" fillId="0" borderId="0" xfId="0" applyNumberFormat="1" applyFont="1" applyFill="1" applyBorder="1" applyAlignment="1" applyProtection="1">
      <alignment horizontal="left" vertical="top"/>
    </xf>
    <xf numFmtId="0" fontId="11" fillId="2" borderId="0" xfId="0" applyFont="1" applyFill="1" applyAlignment="1"/>
    <xf numFmtId="0" fontId="19" fillId="3" borderId="0" xfId="0" applyFont="1" applyFill="1" applyAlignment="1"/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4" borderId="11" xfId="0" applyFont="1" applyFill="1" applyBorder="1" applyAlignment="1">
      <alignment horizontal="left" vertical="top" wrapText="1" indent="1"/>
    </xf>
    <xf numFmtId="0" fontId="5" fillId="4" borderId="11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right" vertical="top" wrapText="1"/>
    </xf>
    <xf numFmtId="0" fontId="21" fillId="4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CMi - O-C Diagr.</a:t>
            </a:r>
          </a:p>
        </c:rich>
      </c:tx>
      <c:layout>
        <c:manualLayout>
          <c:xMode val="edge"/>
          <c:yMode val="edge"/>
          <c:x val="0.358736449765340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2911774395706"/>
          <c:y val="0.14769252958613219"/>
          <c:w val="0.8141271329424054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</c:v>
                </c:pt>
                <c:pt idx="2">
                  <c:v>1138.5</c:v>
                </c:pt>
                <c:pt idx="3">
                  <c:v>1218.5</c:v>
                </c:pt>
                <c:pt idx="4">
                  <c:v>1350</c:v>
                </c:pt>
                <c:pt idx="5">
                  <c:v>1366.5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01-4770-AD4F-0AE3878A36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</c:v>
                </c:pt>
                <c:pt idx="2">
                  <c:v>1138.5</c:v>
                </c:pt>
                <c:pt idx="3">
                  <c:v>1218.5</c:v>
                </c:pt>
                <c:pt idx="4">
                  <c:v>1350</c:v>
                </c:pt>
                <c:pt idx="5">
                  <c:v>1366.5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15.625999999996566</c:v>
                </c:pt>
                <c:pt idx="2">
                  <c:v>15.483000000000175</c:v>
                </c:pt>
                <c:pt idx="3">
                  <c:v>16.968000000000757</c:v>
                </c:pt>
                <c:pt idx="4">
                  <c:v>19.25</c:v>
                </c:pt>
                <c:pt idx="5">
                  <c:v>17.141999999992549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01-4770-AD4F-0AE3878A36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</c:v>
                </c:pt>
                <c:pt idx="2">
                  <c:v>1138.5</c:v>
                </c:pt>
                <c:pt idx="3">
                  <c:v>1218.5</c:v>
                </c:pt>
                <c:pt idx="4">
                  <c:v>1350</c:v>
                </c:pt>
                <c:pt idx="5">
                  <c:v>1366.5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01-4770-AD4F-0AE3878A36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</c:v>
                </c:pt>
                <c:pt idx="2">
                  <c:v>1138.5</c:v>
                </c:pt>
                <c:pt idx="3">
                  <c:v>1218.5</c:v>
                </c:pt>
                <c:pt idx="4">
                  <c:v>1350</c:v>
                </c:pt>
                <c:pt idx="5">
                  <c:v>1366.5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01-4770-AD4F-0AE3878A36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</c:v>
                </c:pt>
                <c:pt idx="2">
                  <c:v>1138.5</c:v>
                </c:pt>
                <c:pt idx="3">
                  <c:v>1218.5</c:v>
                </c:pt>
                <c:pt idx="4">
                  <c:v>1350</c:v>
                </c:pt>
                <c:pt idx="5">
                  <c:v>1366.5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01-4770-AD4F-0AE3878A36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</c:v>
                </c:pt>
                <c:pt idx="2">
                  <c:v>1138.5</c:v>
                </c:pt>
                <c:pt idx="3">
                  <c:v>1218.5</c:v>
                </c:pt>
                <c:pt idx="4">
                  <c:v>1350</c:v>
                </c:pt>
                <c:pt idx="5">
                  <c:v>1366.5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01-4770-AD4F-0AE3878A36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  <c:pt idx="4">
                    <c:v>0.01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</c:v>
                </c:pt>
                <c:pt idx="2">
                  <c:v>1138.5</c:v>
                </c:pt>
                <c:pt idx="3">
                  <c:v>1218.5</c:v>
                </c:pt>
                <c:pt idx="4">
                  <c:v>1350</c:v>
                </c:pt>
                <c:pt idx="5">
                  <c:v>1366.5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01-4770-AD4F-0AE3878A36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</c:v>
                </c:pt>
                <c:pt idx="2">
                  <c:v>1138.5</c:v>
                </c:pt>
                <c:pt idx="3">
                  <c:v>1218.5</c:v>
                </c:pt>
                <c:pt idx="4">
                  <c:v>1350</c:v>
                </c:pt>
                <c:pt idx="5">
                  <c:v>1366.5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0.20773739622561038</c:v>
                </c:pt>
                <c:pt idx="1">
                  <c:v>14.724798834264208</c:v>
                </c:pt>
                <c:pt idx="2">
                  <c:v>15.625344156679848</c:v>
                </c:pt>
                <c:pt idx="3">
                  <c:v>16.708706950563325</c:v>
                </c:pt>
                <c:pt idx="4">
                  <c:v>18.48948454300929</c:v>
                </c:pt>
                <c:pt idx="5">
                  <c:v>18.71292811924776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01-4770-AD4F-0AE3878A3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072104"/>
        <c:axId val="1"/>
      </c:scatterChart>
      <c:valAx>
        <c:axId val="71007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702787616231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072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340241391759"/>
          <c:y val="0.92000129214617399"/>
          <c:w val="0.776952453434027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CMi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6212729424322"/>
          <c:y val="0.15"/>
          <c:w val="0.7995875835198859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1072.5</c:v>
                </c:pt>
                <c:pt idx="2">
                  <c:v>1139</c:v>
                </c:pt>
                <c:pt idx="3">
                  <c:v>1219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DF-48E8-BEFC-638C73F89D3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1072.5</c:v>
                </c:pt>
                <c:pt idx="2">
                  <c:v>1139</c:v>
                </c:pt>
                <c:pt idx="3">
                  <c:v>1219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4.5049999999973807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DF-48E8-BEFC-638C73F89D3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1072.5</c:v>
                </c:pt>
                <c:pt idx="2">
                  <c:v>1139</c:v>
                </c:pt>
                <c:pt idx="3">
                  <c:v>1219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">
                  <c:v>5.8470000000015716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DF-48E8-BEFC-638C73F89D3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1072.5</c:v>
                </c:pt>
                <c:pt idx="2">
                  <c:v>1139</c:v>
                </c:pt>
                <c:pt idx="3">
                  <c:v>1219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DF-48E8-BEFC-638C73F89D3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1072.5</c:v>
                </c:pt>
                <c:pt idx="2">
                  <c:v>1139</c:v>
                </c:pt>
                <c:pt idx="3">
                  <c:v>1219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DF-48E8-BEFC-638C73F89D3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1072.5</c:v>
                </c:pt>
                <c:pt idx="2">
                  <c:v>1139</c:v>
                </c:pt>
                <c:pt idx="3">
                  <c:v>1219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DF-48E8-BEFC-638C73F89D3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1072.5</c:v>
                </c:pt>
                <c:pt idx="2">
                  <c:v>1139</c:v>
                </c:pt>
                <c:pt idx="3">
                  <c:v>1219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2">
                  <c:v>4.3619999999937136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DF-48E8-BEFC-638C73F89D3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1072.5</c:v>
                </c:pt>
                <c:pt idx="2">
                  <c:v>1139</c:v>
                </c:pt>
                <c:pt idx="3">
                  <c:v>1219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-4.8273591211614342E-2</c:v>
                </c:pt>
                <c:pt idx="1">
                  <c:v>4.6122303313331923</c:v>
                </c:pt>
                <c:pt idx="2">
                  <c:v>4.9012033018219849</c:v>
                </c:pt>
                <c:pt idx="3">
                  <c:v>5.2488399580491034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DF-48E8-BEFC-638C73F89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546128"/>
        <c:axId val="1"/>
      </c:scatterChart>
      <c:valAx>
        <c:axId val="78954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3971280449447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54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</xdr:rowOff>
    </xdr:from>
    <xdr:to>
      <xdr:col>17</xdr:col>
      <xdr:colOff>28575</xdr:colOff>
      <xdr:row>17</xdr:row>
      <xdr:rowOff>171451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ADE5C87-71C4-8E4E-F70C-64E591DB0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A4FF61-1FC2-33CE-C736-01C1E5336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var.astro.cz/oejv/issues/oejv0142.pdf" TargetMode="External"/><Relationship Id="rId1" Type="http://schemas.openxmlformats.org/officeDocument/2006/relationships/hyperlink" Target="http://var.astro.cz/oejv/issues/oejv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247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  <c r="C1" s="12"/>
    </row>
    <row r="2" spans="1:6">
      <c r="A2" t="s">
        <v>27</v>
      </c>
      <c r="B2" t="s">
        <v>48</v>
      </c>
      <c r="C2" s="12"/>
    </row>
    <row r="4" spans="1:6" ht="14.25" thickTop="1" thickBot="1">
      <c r="A4" s="8" t="s">
        <v>0</v>
      </c>
      <c r="C4" s="3">
        <v>25532.63</v>
      </c>
      <c r="D4" s="4">
        <v>22.242000000000001</v>
      </c>
    </row>
    <row r="5" spans="1:6" ht="13.5" thickTop="1">
      <c r="A5" s="14" t="s">
        <v>40</v>
      </c>
      <c r="B5" s="15"/>
      <c r="C5" s="16">
        <v>-9.5</v>
      </c>
      <c r="D5" s="15" t="s">
        <v>41</v>
      </c>
    </row>
    <row r="6" spans="1:6">
      <c r="A6" s="8" t="s">
        <v>1</v>
      </c>
    </row>
    <row r="7" spans="1:6">
      <c r="A7" t="s">
        <v>2</v>
      </c>
      <c r="C7">
        <f>+C4</f>
        <v>25532.63</v>
      </c>
    </row>
    <row r="8" spans="1:6">
      <c r="A8" t="s">
        <v>3</v>
      </c>
      <c r="C8">
        <f>+D4</f>
        <v>22.242000000000001</v>
      </c>
    </row>
    <row r="9" spans="1:6">
      <c r="A9" s="29" t="s">
        <v>47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>
      <c r="A10" s="15"/>
      <c r="B10" s="15"/>
      <c r="C10" s="7" t="s">
        <v>22</v>
      </c>
      <c r="D10" s="7" t="s">
        <v>23</v>
      </c>
      <c r="E10" s="15"/>
    </row>
    <row r="11" spans="1:6">
      <c r="A11" s="15" t="s">
        <v>16</v>
      </c>
      <c r="B11" s="15"/>
      <c r="C11" s="17">
        <f ca="1">INTERCEPT(INDIRECT($D$9):G992,INDIRECT($C$9):F992)</f>
        <v>0.20773739622561038</v>
      </c>
      <c r="D11" s="6"/>
      <c r="E11" s="15"/>
    </row>
    <row r="12" spans="1:6">
      <c r="A12" s="15" t="s">
        <v>17</v>
      </c>
      <c r="B12" s="15"/>
      <c r="C12" s="17">
        <f ca="1">SLOPE(INDIRECT($D$9):G992,INDIRECT($C$9):F992)</f>
        <v>1.3542034923543467E-2</v>
      </c>
      <c r="D12" s="6"/>
      <c r="E12" s="15"/>
    </row>
    <row r="13" spans="1:6">
      <c r="A13" s="15" t="s">
        <v>21</v>
      </c>
      <c r="B13" s="15"/>
      <c r="C13" s="6" t="s">
        <v>14</v>
      </c>
    </row>
    <row r="14" spans="1:6">
      <c r="A14" s="15"/>
      <c r="B14" s="15"/>
      <c r="C14" s="15"/>
    </row>
    <row r="15" spans="1:6">
      <c r="A15" s="22" t="s">
        <v>18</v>
      </c>
      <c r="B15" s="15"/>
      <c r="C15" s="23">
        <f ca="1">(C7+C11)+(C8+C12)*INT(MAX(F21:F3533))</f>
        <v>55933.908157101789</v>
      </c>
      <c r="E15" s="20" t="s">
        <v>42</v>
      </c>
      <c r="F15" s="16">
        <v>1</v>
      </c>
    </row>
    <row r="16" spans="1:6">
      <c r="A16" s="24" t="s">
        <v>4</v>
      </c>
      <c r="B16" s="15"/>
      <c r="C16" s="25">
        <f ca="1">+C8+C12</f>
        <v>22.255542034923543</v>
      </c>
      <c r="E16" s="20" t="s">
        <v>43</v>
      </c>
      <c r="F16" s="21">
        <f ca="1">NOW()+15018.5+$C$5/24</f>
        <v>60338.684390740738</v>
      </c>
    </row>
    <row r="17" spans="1:30" ht="13.5" thickBot="1">
      <c r="A17" s="20" t="s">
        <v>38</v>
      </c>
      <c r="B17" s="15"/>
      <c r="C17" s="15">
        <f>COUNT(C21:C2191)</f>
        <v>6</v>
      </c>
      <c r="E17" s="20" t="s">
        <v>44</v>
      </c>
      <c r="F17" s="21">
        <f ca="1">ROUND(2*(F16-$C$7)/$C$8,0)/2+F15</f>
        <v>1566</v>
      </c>
    </row>
    <row r="18" spans="1:30" ht="14.25" thickTop="1" thickBot="1">
      <c r="A18" s="24" t="s">
        <v>5</v>
      </c>
      <c r="B18" s="15"/>
      <c r="C18" s="27">
        <f ca="1">+C15</f>
        <v>55933.908157101789</v>
      </c>
      <c r="D18" s="28">
        <f ca="1">+C16</f>
        <v>22.255542034923543</v>
      </c>
      <c r="E18" s="20" t="s">
        <v>45</v>
      </c>
      <c r="F18" s="19">
        <f ca="1">ROUND(2*(F16-$C$15)/$C$16,0)/2+F15</f>
        <v>199</v>
      </c>
    </row>
    <row r="19" spans="1:30" ht="13.5" thickTop="1">
      <c r="E19" s="20" t="s">
        <v>46</v>
      </c>
      <c r="F19" s="26">
        <f ca="1">+$C$15+$C$16*F18-15018.5-$C$5/24</f>
        <v>45344.656855384907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60</v>
      </c>
      <c r="I20" s="10" t="s">
        <v>63</v>
      </c>
      <c r="J20" s="10" t="s">
        <v>57</v>
      </c>
      <c r="K20" s="10" t="s">
        <v>55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0">
      <c r="A21" s="32" t="s">
        <v>12</v>
      </c>
      <c r="B21" s="32"/>
      <c r="C21" s="33">
        <v>25532.63</v>
      </c>
      <c r="D21" s="33" t="s">
        <v>14</v>
      </c>
      <c r="E21" s="32">
        <f t="shared" ref="E21:E26" si="0">+(C21-C$7)/C$8</f>
        <v>0</v>
      </c>
      <c r="F21" s="32">
        <f>ROUND(2*E21,0)/2</f>
        <v>0</v>
      </c>
      <c r="G21" s="32">
        <f t="shared" ref="G21:G26" si="1">+C21-(C$7+F21*C$8)</f>
        <v>0</v>
      </c>
      <c r="H21" s="32">
        <f>+G21</f>
        <v>0</v>
      </c>
      <c r="I21" s="32"/>
      <c r="O21">
        <f t="shared" ref="O21:O26" ca="1" si="2">+C$11+C$12*F21</f>
        <v>0.20773739622561038</v>
      </c>
      <c r="Q21" s="2">
        <f t="shared" ref="Q21:Q26" si="3">+C21-15018.5</f>
        <v>10514.130000000001</v>
      </c>
    </row>
    <row r="22" spans="1:30">
      <c r="A22" s="40" t="s">
        <v>33</v>
      </c>
      <c r="B22" s="40"/>
      <c r="C22" s="31">
        <v>49391.68</v>
      </c>
      <c r="D22" s="31"/>
      <c r="E22" s="32">
        <f t="shared" si="0"/>
        <v>1072.7025447351857</v>
      </c>
      <c r="F22" s="36">
        <f>ROUND(2*E22,0)/2-0.5</f>
        <v>1072</v>
      </c>
      <c r="G22" s="32">
        <f t="shared" si="1"/>
        <v>15.625999999996566</v>
      </c>
      <c r="H22" s="32"/>
      <c r="I22" s="32">
        <f>+G22</f>
        <v>15.625999999996566</v>
      </c>
      <c r="O22">
        <f t="shared" ca="1" si="2"/>
        <v>14.724798834264208</v>
      </c>
      <c r="Q22" s="2">
        <f t="shared" si="3"/>
        <v>34373.18</v>
      </c>
      <c r="AA22">
        <v>4</v>
      </c>
      <c r="AB22" t="s">
        <v>32</v>
      </c>
      <c r="AD22" t="s">
        <v>34</v>
      </c>
    </row>
    <row r="23" spans="1:30">
      <c r="A23" s="40" t="s">
        <v>35</v>
      </c>
      <c r="B23" s="40"/>
      <c r="C23" s="31">
        <v>50870.63</v>
      </c>
      <c r="D23" s="31"/>
      <c r="E23" s="32">
        <f t="shared" si="0"/>
        <v>1139.1961154572427</v>
      </c>
      <c r="F23" s="36">
        <f>ROUND(2*E23,0)/2-0.5</f>
        <v>1138.5</v>
      </c>
      <c r="G23" s="32">
        <f t="shared" si="1"/>
        <v>15.483000000000175</v>
      </c>
      <c r="H23" s="32"/>
      <c r="I23" s="32">
        <f>+G23</f>
        <v>15.483000000000175</v>
      </c>
      <c r="O23">
        <f t="shared" ca="1" si="2"/>
        <v>15.625344156679848</v>
      </c>
      <c r="Q23" s="2">
        <f t="shared" si="3"/>
        <v>35852.129999999997</v>
      </c>
    </row>
    <row r="24" spans="1:30">
      <c r="A24" s="41" t="s">
        <v>49</v>
      </c>
      <c r="B24" s="42" t="s">
        <v>50</v>
      </c>
      <c r="C24" s="37">
        <v>52651.474999999999</v>
      </c>
      <c r="D24" s="37">
        <v>0.02</v>
      </c>
      <c r="E24" s="32">
        <f t="shared" si="0"/>
        <v>1219.2628810358779</v>
      </c>
      <c r="F24" s="39">
        <f>ROUND(2*E24,0)/2-1</f>
        <v>1218.5</v>
      </c>
      <c r="G24" s="32">
        <f t="shared" si="1"/>
        <v>16.968000000000757</v>
      </c>
      <c r="H24" s="32"/>
      <c r="I24" s="32">
        <f>+G24</f>
        <v>16.968000000000757</v>
      </c>
      <c r="O24">
        <f t="shared" ca="1" si="2"/>
        <v>16.708706950563325</v>
      </c>
      <c r="Q24" s="2">
        <f t="shared" si="3"/>
        <v>37632.974999999999</v>
      </c>
    </row>
    <row r="25" spans="1:30">
      <c r="A25" s="43" t="s">
        <v>51</v>
      </c>
      <c r="B25" s="44" t="s">
        <v>50</v>
      </c>
      <c r="C25" s="43">
        <v>55578.58</v>
      </c>
      <c r="D25" s="43">
        <v>0.01</v>
      </c>
      <c r="E25" s="32">
        <f t="shared" si="0"/>
        <v>1350.8654797230465</v>
      </c>
      <c r="F25" s="39">
        <f>ROUND(2*E25,0)/2-1</f>
        <v>1350</v>
      </c>
      <c r="G25" s="32">
        <f t="shared" si="1"/>
        <v>19.25</v>
      </c>
      <c r="H25" s="32"/>
      <c r="I25" s="32">
        <f>+G25</f>
        <v>19.25</v>
      </c>
      <c r="O25">
        <f t="shared" ca="1" si="2"/>
        <v>18.48948454300929</v>
      </c>
      <c r="Q25" s="2">
        <f t="shared" si="3"/>
        <v>40560.080000000002</v>
      </c>
    </row>
    <row r="26" spans="1:30">
      <c r="A26" s="34" t="s">
        <v>52</v>
      </c>
      <c r="B26" s="45" t="s">
        <v>50</v>
      </c>
      <c r="C26" s="46">
        <v>55943.464999999997</v>
      </c>
      <c r="D26" s="46">
        <v>0.01</v>
      </c>
      <c r="E26" s="32">
        <f t="shared" si="0"/>
        <v>1367.2707040733744</v>
      </c>
      <c r="F26" s="39">
        <f>ROUND(2*E26,0)/2-1</f>
        <v>1366.5</v>
      </c>
      <c r="G26" s="32">
        <f t="shared" si="1"/>
        <v>17.141999999992549</v>
      </c>
      <c r="H26" s="32"/>
      <c r="I26" s="32">
        <f>+G26</f>
        <v>17.141999999992549</v>
      </c>
      <c r="O26">
        <f t="shared" ca="1" si="2"/>
        <v>18.71292811924776</v>
      </c>
      <c r="Q26" s="2">
        <f t="shared" si="3"/>
        <v>40924.964999999997</v>
      </c>
    </row>
    <row r="27" spans="1:30">
      <c r="C27" s="13"/>
      <c r="D27" s="13"/>
      <c r="Q27" s="2"/>
    </row>
    <row r="28" spans="1:30">
      <c r="C28" s="13"/>
      <c r="D28" s="13"/>
    </row>
    <row r="29" spans="1:30">
      <c r="C29" s="13"/>
      <c r="D29" s="13"/>
    </row>
    <row r="30" spans="1:30">
      <c r="C30" s="13"/>
      <c r="D30" s="13"/>
    </row>
    <row r="31" spans="1:30">
      <c r="C31" s="13"/>
      <c r="D31" s="13"/>
    </row>
    <row r="32" spans="1:30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  <row r="36" spans="3:4">
      <c r="C36" s="13"/>
      <c r="D36" s="13"/>
    </row>
    <row r="37" spans="3:4">
      <c r="C37" s="13"/>
      <c r="D37" s="13"/>
    </row>
    <row r="38" spans="3:4">
      <c r="C38" s="13"/>
      <c r="D38" s="13"/>
    </row>
    <row r="39" spans="3:4">
      <c r="C39" s="13"/>
      <c r="D39" s="13"/>
    </row>
    <row r="40" spans="3:4">
      <c r="C40" s="13"/>
      <c r="D40" s="13"/>
    </row>
    <row r="41" spans="3:4">
      <c r="C41" s="13"/>
      <c r="D41" s="13"/>
    </row>
    <row r="42" spans="3:4">
      <c r="C42" s="13"/>
      <c r="D42" s="13"/>
    </row>
    <row r="43" spans="3:4">
      <c r="C43" s="13"/>
      <c r="D43" s="13"/>
    </row>
    <row r="44" spans="3:4">
      <c r="C44" s="13"/>
      <c r="D44" s="13"/>
    </row>
    <row r="45" spans="3:4">
      <c r="C45" s="13"/>
      <c r="D45" s="13"/>
    </row>
    <row r="46" spans="3:4">
      <c r="C46" s="13"/>
      <c r="D46" s="13"/>
    </row>
    <row r="47" spans="3:4">
      <c r="C47" s="13"/>
      <c r="D47" s="13"/>
    </row>
    <row r="48" spans="3:4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>
      <selection activeCell="E30" sqref="E3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2" t="s">
        <v>37</v>
      </c>
    </row>
    <row r="2" spans="1:4">
      <c r="A2" t="s">
        <v>27</v>
      </c>
      <c r="C2" s="12"/>
    </row>
    <row r="4" spans="1:4">
      <c r="A4" s="8" t="s">
        <v>0</v>
      </c>
      <c r="C4" s="3">
        <v>25532.63</v>
      </c>
      <c r="D4" s="4">
        <v>22.242000000000001</v>
      </c>
    </row>
    <row r="6" spans="1:4">
      <c r="A6" s="8" t="s">
        <v>1</v>
      </c>
    </row>
    <row r="7" spans="1:4">
      <c r="A7" t="s">
        <v>2</v>
      </c>
      <c r="C7">
        <f>+C4</f>
        <v>25532.63</v>
      </c>
    </row>
    <row r="8" spans="1:4">
      <c r="A8" t="s">
        <v>3</v>
      </c>
      <c r="C8">
        <f>+D4</f>
        <v>22.242000000000001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INTERCEPT(G21:G993,F21:F993)</f>
        <v>-4.8273591211614342E-2</v>
      </c>
      <c r="D11" s="6"/>
    </row>
    <row r="12" spans="1:4">
      <c r="A12" t="s">
        <v>17</v>
      </c>
      <c r="C12">
        <f>SLOPE(G21:G993,F21:F993)</f>
        <v>4.3454582028389808E-3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5" t="s">
        <v>18</v>
      </c>
      <c r="C15" s="11">
        <v>49391.68</v>
      </c>
    </row>
    <row r="16" spans="1:4">
      <c r="A16" s="8" t="s">
        <v>4</v>
      </c>
      <c r="C16">
        <f>+C8+C12</f>
        <v>22.246345458202839</v>
      </c>
    </row>
    <row r="17" spans="1:30" ht="13.5" thickBot="1"/>
    <row r="18" spans="1:30">
      <c r="A18" s="8" t="s">
        <v>5</v>
      </c>
      <c r="C18" s="3">
        <f>+C15</f>
        <v>49391.68</v>
      </c>
      <c r="D18" s="4">
        <f>+C16</f>
        <v>22.246345458202839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0">
      <c r="A21" t="s">
        <v>12</v>
      </c>
      <c r="C21" s="31">
        <v>25532.63</v>
      </c>
      <c r="D21" s="3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-4.8273591211614342E-2</v>
      </c>
      <c r="Q21" s="2">
        <f>+C21-15018.5</f>
        <v>10514.130000000001</v>
      </c>
    </row>
    <row r="22" spans="1:30">
      <c r="A22" t="s">
        <v>33</v>
      </c>
      <c r="C22" s="31">
        <v>49391.68</v>
      </c>
      <c r="D22" s="31"/>
      <c r="E22">
        <f>+(C22-C$7)/C$8</f>
        <v>1072.7025447351857</v>
      </c>
      <c r="F22">
        <f>ROUND(2*E22,0)/2</f>
        <v>1072.5</v>
      </c>
      <c r="G22">
        <f>+C22-(C$7+F22*C$8)</f>
        <v>4.5049999999973807</v>
      </c>
      <c r="I22">
        <f>+G22</f>
        <v>4.5049999999973807</v>
      </c>
      <c r="O22">
        <f>+C$11+C$12*F22</f>
        <v>4.6122303313331923</v>
      </c>
      <c r="Q22" s="2">
        <f>+C22-15018.5</f>
        <v>34373.18</v>
      </c>
      <c r="AA22">
        <v>4</v>
      </c>
      <c r="AB22" t="s">
        <v>32</v>
      </c>
      <c r="AD22" t="s">
        <v>34</v>
      </c>
    </row>
    <row r="23" spans="1:30">
      <c r="A23" t="s">
        <v>35</v>
      </c>
      <c r="C23" s="31">
        <v>50870.63</v>
      </c>
      <c r="D23" s="31"/>
      <c r="E23">
        <f>+(C23-C$7)/C$8</f>
        <v>1139.1961154572427</v>
      </c>
      <c r="F23">
        <f>ROUND(2*E23,0)/2</f>
        <v>1139</v>
      </c>
      <c r="G23">
        <f>+C23-(C$7+F23*C$8)</f>
        <v>4.3619999999937136</v>
      </c>
      <c r="N23">
        <f>G23</f>
        <v>4.3619999999937136</v>
      </c>
      <c r="O23">
        <f>+C$11+C$12*F23</f>
        <v>4.9012033018219849</v>
      </c>
      <c r="Q23" s="2">
        <f>+C23-15018.5</f>
        <v>35852.129999999997</v>
      </c>
    </row>
    <row r="24" spans="1:30">
      <c r="A24" s="34" t="s">
        <v>49</v>
      </c>
      <c r="B24" s="35" t="s">
        <v>50</v>
      </c>
      <c r="C24" s="37">
        <v>52651.474999999999</v>
      </c>
      <c r="D24" s="37">
        <v>0.02</v>
      </c>
      <c r="E24" s="32">
        <f>+(C24-C$7)/C$8</f>
        <v>1219.2628810358779</v>
      </c>
      <c r="F24" s="38">
        <f>ROUND(2*E24,0)/2-0.5</f>
        <v>1219</v>
      </c>
      <c r="G24" s="32">
        <f>+C24-(C$7+F24*C$8)</f>
        <v>5.8470000000015716</v>
      </c>
      <c r="H24" s="32"/>
      <c r="I24" s="32"/>
      <c r="J24">
        <f>G24</f>
        <v>5.8470000000015716</v>
      </c>
      <c r="O24">
        <f>+C$11+C$12*F24</f>
        <v>5.2488399580491034</v>
      </c>
      <c r="Q24" s="2">
        <f>+C24-15018.5</f>
        <v>37632.974999999999</v>
      </c>
    </row>
    <row r="25" spans="1:30">
      <c r="D25" s="6"/>
      <c r="Q25" s="2"/>
    </row>
    <row r="26" spans="1:30">
      <c r="D26" s="6"/>
      <c r="Q26" s="2"/>
    </row>
    <row r="27" spans="1:30">
      <c r="D27" s="6"/>
      <c r="Q27" s="2"/>
    </row>
    <row r="28" spans="1:30">
      <c r="D28" s="6"/>
    </row>
    <row r="29" spans="1:30">
      <c r="D29" s="6"/>
    </row>
    <row r="30" spans="1:30">
      <c r="D30" s="6"/>
    </row>
    <row r="31" spans="1:30">
      <c r="D31" s="6"/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workbookViewId="0">
      <selection activeCell="A14" sqref="A14:D14"/>
    </sheetView>
  </sheetViews>
  <sheetFormatPr defaultRowHeight="12.75"/>
  <cols>
    <col min="1" max="1" width="19.7109375" style="13" customWidth="1"/>
    <col min="2" max="2" width="4.42578125" style="15" customWidth="1"/>
    <col min="3" max="3" width="12.7109375" style="1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7" t="s">
        <v>53</v>
      </c>
      <c r="I1" s="48" t="s">
        <v>54</v>
      </c>
      <c r="J1" s="49" t="s">
        <v>55</v>
      </c>
    </row>
    <row r="2" spans="1:16">
      <c r="I2" s="50" t="s">
        <v>56</v>
      </c>
      <c r="J2" s="51" t="s">
        <v>57</v>
      </c>
    </row>
    <row r="3" spans="1:16">
      <c r="A3" s="52" t="s">
        <v>58</v>
      </c>
      <c r="I3" s="50" t="s">
        <v>59</v>
      </c>
      <c r="J3" s="51" t="s">
        <v>60</v>
      </c>
    </row>
    <row r="4" spans="1:16">
      <c r="I4" s="50" t="s">
        <v>61</v>
      </c>
      <c r="J4" s="51" t="s">
        <v>60</v>
      </c>
    </row>
    <row r="5" spans="1:16" ht="13.5" thickBot="1">
      <c r="I5" s="53" t="s">
        <v>62</v>
      </c>
      <c r="J5" s="54" t="s">
        <v>63</v>
      </c>
    </row>
    <row r="10" spans="1:16" ht="13.5" thickBot="1"/>
    <row r="11" spans="1:16" ht="12.75" customHeight="1" thickBot="1">
      <c r="A11" s="13" t="str">
        <f>P11</f>
        <v> BBS 106 </v>
      </c>
      <c r="B11" s="6" t="str">
        <f>IF(H11=INT(H11),"I","II")</f>
        <v>I</v>
      </c>
      <c r="C11" s="13">
        <f>1*G11</f>
        <v>49391.68</v>
      </c>
      <c r="D11" s="15" t="str">
        <f>VLOOKUP(F11,I$1:J$5,2,FALSE)</f>
        <v>vis</v>
      </c>
      <c r="E11" s="55">
        <f>VLOOKUP(C11,Active!C$21:E$973,3,FALSE)</f>
        <v>1072.7025447351857</v>
      </c>
      <c r="F11" s="6" t="s">
        <v>62</v>
      </c>
      <c r="G11" s="15" t="str">
        <f>MID(I11,3,LEN(I11)-3)</f>
        <v>49391.68</v>
      </c>
      <c r="H11" s="13">
        <f>1*K11</f>
        <v>-821</v>
      </c>
      <c r="I11" s="56" t="s">
        <v>64</v>
      </c>
      <c r="J11" s="57" t="s">
        <v>65</v>
      </c>
      <c r="K11" s="56">
        <v>-821</v>
      </c>
      <c r="L11" s="56" t="s">
        <v>66</v>
      </c>
      <c r="M11" s="57" t="s">
        <v>67</v>
      </c>
      <c r="N11" s="57" t="s">
        <v>68</v>
      </c>
      <c r="O11" s="58" t="s">
        <v>69</v>
      </c>
      <c r="P11" s="58" t="s">
        <v>70</v>
      </c>
    </row>
    <row r="12" spans="1:16" ht="12.75" customHeight="1" thickBot="1">
      <c r="A12" s="13" t="str">
        <f>P12</f>
        <v>OEJV 0142 </v>
      </c>
      <c r="B12" s="6" t="str">
        <f>IF(H12=INT(H12),"I","II")</f>
        <v>I</v>
      </c>
      <c r="C12" s="13">
        <f>1*G12</f>
        <v>55578.58</v>
      </c>
      <c r="D12" s="15" t="str">
        <f>VLOOKUP(F12,I$1:J$5,2,FALSE)</f>
        <v>vis</v>
      </c>
      <c r="E12" s="55">
        <f>VLOOKUP(C12,Active!C$21:E$973,3,FALSE)</f>
        <v>1350.8654797230465</v>
      </c>
      <c r="F12" s="6" t="s">
        <v>62</v>
      </c>
      <c r="G12" s="15" t="str">
        <f>MID(I12,3,LEN(I12)-3)</f>
        <v>55578.58</v>
      </c>
      <c r="H12" s="13">
        <f>1*K12</f>
        <v>569</v>
      </c>
      <c r="I12" s="56" t="s">
        <v>77</v>
      </c>
      <c r="J12" s="57" t="s">
        <v>78</v>
      </c>
      <c r="K12" s="56">
        <v>569</v>
      </c>
      <c r="L12" s="56" t="s">
        <v>79</v>
      </c>
      <c r="M12" s="57" t="s">
        <v>74</v>
      </c>
      <c r="N12" s="57" t="s">
        <v>75</v>
      </c>
      <c r="O12" s="58" t="s">
        <v>69</v>
      </c>
      <c r="P12" s="59" t="s">
        <v>80</v>
      </c>
    </row>
    <row r="13" spans="1:16" ht="12.75" customHeight="1" thickBot="1">
      <c r="A13" s="13" t="str">
        <f>P13</f>
        <v>OEJV 0147 </v>
      </c>
      <c r="B13" s="6" t="str">
        <f>IF(H13=INT(H13),"I","II")</f>
        <v>I</v>
      </c>
      <c r="C13" s="13">
        <f>1*G13</f>
        <v>55943.464999999997</v>
      </c>
      <c r="D13" s="15" t="str">
        <f>VLOOKUP(F13,I$1:J$5,2,FALSE)</f>
        <v>vis</v>
      </c>
      <c r="E13" s="55">
        <f>VLOOKUP(C13,Active!C$21:E$973,3,FALSE)</f>
        <v>1367.2707040733744</v>
      </c>
      <c r="F13" s="6" t="s">
        <v>62</v>
      </c>
      <c r="G13" s="15" t="str">
        <f>MID(I13,3,LEN(I13)-3)</f>
        <v>55943.465</v>
      </c>
      <c r="H13" s="13">
        <f>1*K13</f>
        <v>651</v>
      </c>
      <c r="I13" s="56" t="s">
        <v>81</v>
      </c>
      <c r="J13" s="57" t="s">
        <v>82</v>
      </c>
      <c r="K13" s="56">
        <v>651</v>
      </c>
      <c r="L13" s="56" t="s">
        <v>83</v>
      </c>
      <c r="M13" s="57" t="s">
        <v>74</v>
      </c>
      <c r="N13" s="57" t="s">
        <v>75</v>
      </c>
      <c r="O13" s="58" t="s">
        <v>69</v>
      </c>
      <c r="P13" s="59" t="s">
        <v>84</v>
      </c>
    </row>
    <row r="14" spans="1:16" ht="12.75" customHeight="1" thickBot="1">
      <c r="A14" s="13" t="str">
        <f>P14</f>
        <v>OEJV 0116 </v>
      </c>
      <c r="B14" s="6" t="str">
        <f>IF(H14=INT(H14),"I","II")</f>
        <v>I</v>
      </c>
      <c r="C14" s="13">
        <f>1*G14</f>
        <v>52681.474999999999</v>
      </c>
      <c r="D14" s="15" t="str">
        <f>VLOOKUP(F14,I$1:J$5,2,FALSE)</f>
        <v>vis</v>
      </c>
      <c r="E14" s="55" t="e">
        <f>VLOOKUP(C14,Active!C$21:E$973,3,FALSE)</f>
        <v>#N/A</v>
      </c>
      <c r="F14" s="6" t="s">
        <v>62</v>
      </c>
      <c r="G14" s="15" t="str">
        <f>MID(I14,3,LEN(I14)-3)</f>
        <v>52681.475</v>
      </c>
      <c r="H14" s="13">
        <f>1*K14</f>
        <v>-82</v>
      </c>
      <c r="I14" s="56" t="s">
        <v>71</v>
      </c>
      <c r="J14" s="57" t="s">
        <v>72</v>
      </c>
      <c r="K14" s="56">
        <v>-82</v>
      </c>
      <c r="L14" s="56" t="s">
        <v>73</v>
      </c>
      <c r="M14" s="57" t="s">
        <v>74</v>
      </c>
      <c r="N14" s="57" t="s">
        <v>75</v>
      </c>
      <c r="O14" s="58" t="s">
        <v>69</v>
      </c>
      <c r="P14" s="59" t="s">
        <v>76</v>
      </c>
    </row>
    <row r="15" spans="1:16">
      <c r="B15" s="6"/>
      <c r="F15" s="6"/>
    </row>
    <row r="16" spans="1:16">
      <c r="B16" s="6"/>
      <c r="F16" s="6"/>
    </row>
    <row r="17" spans="2:6">
      <c r="B17" s="6"/>
      <c r="F17" s="6"/>
    </row>
    <row r="18" spans="2:6">
      <c r="B18" s="6"/>
      <c r="F18" s="6"/>
    </row>
    <row r="19" spans="2:6">
      <c r="B19" s="6"/>
      <c r="F19" s="6"/>
    </row>
    <row r="20" spans="2:6">
      <c r="B20" s="6"/>
      <c r="F20" s="6"/>
    </row>
    <row r="21" spans="2:6">
      <c r="B21" s="6"/>
      <c r="F21" s="6"/>
    </row>
    <row r="22" spans="2:6">
      <c r="B22" s="6"/>
      <c r="F22" s="6"/>
    </row>
    <row r="23" spans="2:6">
      <c r="B23" s="6"/>
      <c r="F23" s="6"/>
    </row>
    <row r="24" spans="2:6">
      <c r="B24" s="6"/>
      <c r="F24" s="6"/>
    </row>
    <row r="25" spans="2:6">
      <c r="B25" s="6"/>
      <c r="F25" s="6"/>
    </row>
    <row r="26" spans="2:6">
      <c r="B26" s="6"/>
      <c r="F26" s="6"/>
    </row>
    <row r="27" spans="2:6">
      <c r="B27" s="6"/>
      <c r="F27" s="6"/>
    </row>
    <row r="28" spans="2:6">
      <c r="B28" s="6"/>
      <c r="F28" s="6"/>
    </row>
    <row r="29" spans="2:6">
      <c r="B29" s="6"/>
      <c r="F29" s="6"/>
    </row>
    <row r="30" spans="2:6">
      <c r="B30" s="6"/>
      <c r="F30" s="6"/>
    </row>
    <row r="31" spans="2:6">
      <c r="B31" s="6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</sheetData>
  <phoneticPr fontId="7" type="noConversion"/>
  <hyperlinks>
    <hyperlink ref="P14" r:id="rId1" display="http://var.astro.cz/oejv/issues/oejv0116.pdf"/>
    <hyperlink ref="P12" r:id="rId2" display="http://var.astro.cz/oejv/issues/oejv0142.pdf"/>
    <hyperlink ref="P13" r:id="rId3" display="http://var.astro.cz/oejv/issues/oejv014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2024-01-29T03:25:31Z</dcterms:modified>
</cp:coreProperties>
</file>