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B8BE106-FB23-42DC-BA7A-3E00C676F78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3" r:id="rId2"/>
    <sheet name="A (2)" sheetId="2" r:id="rId3"/>
  </sheets>
  <calcPr calcId="181029"/>
</workbook>
</file>

<file path=xl/calcChain.xml><?xml version="1.0" encoding="utf-8"?>
<calcChain xmlns="http://schemas.openxmlformats.org/spreadsheetml/2006/main">
  <c r="Q38" i="1" l="1"/>
  <c r="Q37" i="1"/>
  <c r="C7" i="1"/>
  <c r="E28" i="1"/>
  <c r="F28" i="1"/>
  <c r="C8" i="1"/>
  <c r="D9" i="1"/>
  <c r="C9" i="1"/>
  <c r="G25" i="3"/>
  <c r="C25" i="3"/>
  <c r="G24" i="3"/>
  <c r="C24" i="3"/>
  <c r="E24" i="3"/>
  <c r="G23" i="3"/>
  <c r="C23" i="3"/>
  <c r="E23" i="3"/>
  <c r="G22" i="3"/>
  <c r="C22" i="3"/>
  <c r="G21" i="3"/>
  <c r="C21" i="3"/>
  <c r="E21" i="3"/>
  <c r="G20" i="3"/>
  <c r="C20" i="3"/>
  <c r="G19" i="3"/>
  <c r="C19" i="3"/>
  <c r="G18" i="3"/>
  <c r="C18" i="3"/>
  <c r="G17" i="3"/>
  <c r="C17" i="3"/>
  <c r="E17" i="3"/>
  <c r="G16" i="3"/>
  <c r="C16" i="3"/>
  <c r="G15" i="3"/>
  <c r="C15" i="3"/>
  <c r="G14" i="3"/>
  <c r="C14" i="3"/>
  <c r="G13" i="3"/>
  <c r="C13" i="3"/>
  <c r="G12" i="3"/>
  <c r="C12" i="3"/>
  <c r="G11" i="3"/>
  <c r="C11" i="3"/>
  <c r="E11" i="3"/>
  <c r="E21" i="1"/>
  <c r="H25" i="3"/>
  <c r="D25" i="3"/>
  <c r="B25" i="3"/>
  <c r="A25" i="3"/>
  <c r="H24" i="3"/>
  <c r="D24" i="3"/>
  <c r="B24" i="3"/>
  <c r="A24" i="3"/>
  <c r="H23" i="3"/>
  <c r="D23" i="3"/>
  <c r="B23" i="3"/>
  <c r="A23" i="3"/>
  <c r="H22" i="3"/>
  <c r="D22" i="3"/>
  <c r="B22" i="3"/>
  <c r="A22" i="3"/>
  <c r="H21" i="3"/>
  <c r="D21" i="3"/>
  <c r="B21" i="3"/>
  <c r="A21" i="3"/>
  <c r="H20" i="3"/>
  <c r="D20" i="3"/>
  <c r="B20" i="3"/>
  <c r="A20" i="3"/>
  <c r="H19" i="3"/>
  <c r="D19" i="3"/>
  <c r="B19" i="3"/>
  <c r="A19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14" i="3"/>
  <c r="D14" i="3"/>
  <c r="B14" i="3"/>
  <c r="A14" i="3"/>
  <c r="H13" i="3"/>
  <c r="D13" i="3"/>
  <c r="B13" i="3"/>
  <c r="A13" i="3"/>
  <c r="H12" i="3"/>
  <c r="D12" i="3"/>
  <c r="B12" i="3"/>
  <c r="A12" i="3"/>
  <c r="H11" i="3"/>
  <c r="D11" i="3"/>
  <c r="B11" i="3"/>
  <c r="A11" i="3"/>
  <c r="Q34" i="1"/>
  <c r="Q36" i="1"/>
  <c r="Q35" i="1"/>
  <c r="Q33" i="1"/>
  <c r="F21" i="1"/>
  <c r="U21" i="1"/>
  <c r="Q22" i="1"/>
  <c r="Q23" i="1"/>
  <c r="Q25" i="1"/>
  <c r="Q26" i="1"/>
  <c r="Q30" i="1"/>
  <c r="F16" i="1"/>
  <c r="F17" i="1" s="1"/>
  <c r="C17" i="1"/>
  <c r="Q27" i="1"/>
  <c r="Q28" i="1"/>
  <c r="Q29" i="1"/>
  <c r="Q31" i="1"/>
  <c r="C7" i="2"/>
  <c r="E22" i="2"/>
  <c r="F22" i="2"/>
  <c r="G22" i="2"/>
  <c r="H22" i="2"/>
  <c r="F11" i="2"/>
  <c r="E21" i="2"/>
  <c r="F21" i="2"/>
  <c r="G21" i="2"/>
  <c r="I21" i="2"/>
  <c r="E23" i="2"/>
  <c r="F23" i="2"/>
  <c r="G11" i="2"/>
  <c r="E15" i="2"/>
  <c r="C17" i="2"/>
  <c r="Q21" i="2"/>
  <c r="Q22" i="2"/>
  <c r="Q23" i="2"/>
  <c r="Q32" i="1"/>
  <c r="Q21" i="1"/>
  <c r="Q24" i="1"/>
  <c r="E18" i="3"/>
  <c r="E19" i="3"/>
  <c r="E25" i="3"/>
  <c r="E14" i="3"/>
  <c r="E22" i="3"/>
  <c r="E24" i="1"/>
  <c r="F24" i="1"/>
  <c r="U24" i="1"/>
  <c r="I24" i="1"/>
  <c r="E34" i="1"/>
  <c r="F34" i="1"/>
  <c r="G34" i="1"/>
  <c r="K34" i="1"/>
  <c r="E25" i="1"/>
  <c r="F25" i="1"/>
  <c r="E30" i="1"/>
  <c r="F30" i="1"/>
  <c r="E22" i="1"/>
  <c r="F22" i="1"/>
  <c r="E27" i="1"/>
  <c r="F27" i="1"/>
  <c r="G27" i="1"/>
  <c r="K27" i="1"/>
  <c r="E32" i="1"/>
  <c r="F32" i="1"/>
  <c r="G32" i="1"/>
  <c r="K32" i="1"/>
  <c r="E23" i="1"/>
  <c r="F23" i="1"/>
  <c r="G23" i="1"/>
  <c r="J23" i="1"/>
  <c r="E36" i="1"/>
  <c r="F36" i="1"/>
  <c r="U36" i="1"/>
  <c r="E29" i="1"/>
  <c r="F29" i="1"/>
  <c r="G29" i="1"/>
  <c r="K29" i="1"/>
  <c r="G38" i="1"/>
  <c r="K38" i="1"/>
  <c r="E35" i="1"/>
  <c r="F35" i="1"/>
  <c r="G35" i="1"/>
  <c r="K35" i="1"/>
  <c r="G28" i="1"/>
  <c r="K28" i="1"/>
  <c r="E26" i="1"/>
  <c r="F26" i="1"/>
  <c r="G26" i="1"/>
  <c r="J26" i="1"/>
  <c r="E37" i="1"/>
  <c r="F37" i="1"/>
  <c r="G37" i="1"/>
  <c r="K37" i="1"/>
  <c r="E33" i="1"/>
  <c r="F33" i="1"/>
  <c r="U33" i="1"/>
  <c r="E31" i="1"/>
  <c r="F31" i="1"/>
  <c r="G31" i="1"/>
  <c r="K31" i="1"/>
  <c r="G25" i="1"/>
  <c r="J25" i="1"/>
  <c r="E38" i="1"/>
  <c r="F38" i="1"/>
  <c r="G30" i="1"/>
  <c r="K30" i="1"/>
  <c r="E15" i="3"/>
  <c r="E20" i="3"/>
  <c r="U22" i="1"/>
  <c r="E13" i="3"/>
  <c r="E16" i="3"/>
  <c r="E12" i="3"/>
  <c r="C11" i="1"/>
  <c r="C12" i="1"/>
  <c r="C11" i="2"/>
  <c r="C12" i="2"/>
  <c r="C16" i="2" l="1"/>
  <c r="D18" i="2" s="1"/>
  <c r="O22" i="2"/>
  <c r="O21" i="2"/>
  <c r="C15" i="2"/>
  <c r="O23" i="2"/>
  <c r="C16" i="1"/>
  <c r="D18" i="1" s="1"/>
  <c r="O21" i="1"/>
  <c r="O37" i="1"/>
  <c r="O35" i="1"/>
  <c r="O24" i="1"/>
  <c r="C15" i="1"/>
  <c r="O38" i="1"/>
  <c r="O28" i="1"/>
  <c r="O25" i="1"/>
  <c r="O26" i="1"/>
  <c r="O23" i="1"/>
  <c r="O27" i="1"/>
  <c r="O30" i="1"/>
  <c r="O32" i="1"/>
  <c r="O36" i="1"/>
  <c r="O33" i="1"/>
  <c r="O22" i="1"/>
  <c r="O29" i="1"/>
  <c r="O31" i="1"/>
  <c r="O34" i="1"/>
  <c r="C18" i="2" l="1"/>
  <c r="C18" i="1"/>
  <c r="E16" i="2"/>
  <c r="E17" i="2" s="1"/>
  <c r="F18" i="1"/>
  <c r="F19" i="1" s="1"/>
</calcChain>
</file>

<file path=xl/sharedStrings.xml><?xml version="1.0" encoding="utf-8"?>
<sst xmlns="http://schemas.openxmlformats.org/spreadsheetml/2006/main" count="259" uniqueCount="127">
  <si>
    <t>VSB-063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</si>
  <si>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</si>
  <si>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</si>
  <si>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</si>
  <si>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</si>
  <si>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</si>
  <si>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</si>
  <si>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</si>
  <si>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</si>
  <si>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</si>
  <si>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</si>
  <si>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</si>
  <si>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</si>
  <si>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</si>
  <si>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</si>
  <si>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</si>
  <si>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</si>
  <si>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</si>
  <si>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</si>
  <si>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</si>
  <si>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</si>
  <si>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</si>
  <si>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</si>
  <si>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</si>
  <si>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</si>
  <si>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</si>
  <si>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</si>
  <si>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</si>
  <si>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</si>
  <si>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</si>
  <si>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</si>
  <si>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</si>
  <si>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</si>
  <si>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</si>
  <si>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</si>
  <si>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</si>
  <si>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</si>
  <si>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</si>
  <si>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</si>
  <si>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</si>
  <si>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</si>
  <si>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DE CVn / GSC 3460-0780               </t>
  </si>
  <si>
    <t>E</t>
  </si>
  <si>
    <t>IBVS 5548</t>
  </si>
  <si>
    <t>RHN 2009</t>
  </si>
  <si>
    <t>Nelson</t>
  </si>
  <si>
    <t>OEJV 0074</t>
  </si>
  <si>
    <t>IBVS 5929</t>
  </si>
  <si>
    <t>Add cycle</t>
  </si>
  <si>
    <t>Old Cycle</t>
  </si>
  <si>
    <t>IBVS 6007</t>
  </si>
  <si>
    <t>IBVS 6018</t>
  </si>
  <si>
    <t>BAD</t>
  </si>
  <si>
    <t>OEJV 0160</t>
  </si>
  <si>
    <t>OEJV 0165</t>
  </si>
  <si>
    <t>3,00E-05</t>
  </si>
  <si>
    <t>OEJV 0168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</si>
  <si>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</si>
  <si>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</si>
  <si>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</si>
  <si>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</si>
  <si>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</si>
  <si>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</si>
  <si>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</si>
  <si>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</si>
  <si>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</si>
  <si>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</si>
  <si>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2452411.3156 </t>
  </si>
  <si>
    <t> 16.05.2002 19:34 </t>
  </si>
  <si>
    <t> 0.0074 </t>
  </si>
  <si>
    <t>E </t>
  </si>
  <si>
    <t>?</t>
  </si>
  <si>
    <t> G.Tas et al. </t>
  </si>
  <si>
    <t>IBVS 5548 </t>
  </si>
  <si>
    <t>2452412.4078 </t>
  </si>
  <si>
    <t> 17.05.2002 21:47 </t>
  </si>
  <si>
    <t> 0.0072 </t>
  </si>
  <si>
    <t>2452413.4958 </t>
  </si>
  <si>
    <t> 18.05.2002 23:53 </t>
  </si>
  <si>
    <t> 0.0027 </t>
  </si>
  <si>
    <t>2452705.5359 </t>
  </si>
  <si>
    <t> 07.03.2003 00:51 </t>
  </si>
  <si>
    <t> 0.0029 </t>
  </si>
  <si>
    <t>2452727.3837 </t>
  </si>
  <si>
    <t> 28.03.2003 21:12 </t>
  </si>
  <si>
    <t> 0.0023 </t>
  </si>
  <si>
    <t>2454093.63432 </t>
  </si>
  <si>
    <t> 24.12.2006 03:13 </t>
  </si>
  <si>
    <t> 0.00115 </t>
  </si>
  <si>
    <t>C </t>
  </si>
  <si>
    <t>R</t>
  </si>
  <si>
    <t> L.Brát </t>
  </si>
  <si>
    <t>OEJV 0074 </t>
  </si>
  <si>
    <t>2454096.54793 </t>
  </si>
  <si>
    <t> 27.12.2006 01:09 </t>
  </si>
  <si>
    <t> 0.00164 </t>
  </si>
  <si>
    <t>2454170.46751 </t>
  </si>
  <si>
    <t> 10.03.2007 23:13 </t>
  </si>
  <si>
    <t> 0.00089 </t>
  </si>
  <si>
    <t>2454193.40825 </t>
  </si>
  <si>
    <t> 02.04.2007 21:47 </t>
  </si>
  <si>
    <t> 0.00083 </t>
  </si>
  <si>
    <t> P.Zasche </t>
  </si>
  <si>
    <t>IBVS 6007 </t>
  </si>
  <si>
    <t>2454240.38203 </t>
  </si>
  <si>
    <t> 19.05.2007 21:10 </t>
  </si>
  <si>
    <t> 0.00060 </t>
  </si>
  <si>
    <t>2454937.709 </t>
  </si>
  <si>
    <t> 16.04.2009 05:00 </t>
  </si>
  <si>
    <t> 0.000 </t>
  </si>
  <si>
    <t> R.Nelson </t>
  </si>
  <si>
    <t>IBVS 5929 </t>
  </si>
  <si>
    <t>2455643.7487 </t>
  </si>
  <si>
    <t> 23.03.2011 05:58 </t>
  </si>
  <si>
    <t> -0.0267 </t>
  </si>
  <si>
    <t>IBVS 6018 </t>
  </si>
  <si>
    <t>2456482.38765 </t>
  </si>
  <si>
    <t> 08.07.2013 21:18 </t>
  </si>
  <si>
    <t> -0.00129 </t>
  </si>
  <si>
    <t> L.Šmelcer </t>
  </si>
  <si>
    <t>OEJV 0160 </t>
  </si>
  <si>
    <t>2456482.38769 </t>
  </si>
  <si>
    <t> -0.00125 </t>
  </si>
  <si>
    <t>2456490.39859 </t>
  </si>
  <si>
    <t> 16.07.2013 21:33 </t>
  </si>
  <si>
    <t> -0.00143 </t>
  </si>
  <si>
    <t>VSB_061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</si>
</sst>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6" fillId="0" borderId="0"/>
    <xf numFmtId="0" fontId="31" fillId="0" borderId="0"/>
    <xf numFmtId="0" fontId="31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NumberFormat="1" applyFont="1" applyAlignment="1">
      <alignment horizontal="left"/>
    </xf>
    <xf numFmtId="0" fontId="17" fillId="0" borderId="0" xfId="0" applyFont="1" applyAlignment="1">
      <alignment horizontal="left" wrapText="1"/>
    </xf>
    <xf numFmtId="0" fontId="10" fillId="0" borderId="0" xfId="0" applyNumberFormat="1" applyFont="1" applyAlignment="1">
      <alignment horizontal="left"/>
    </xf>
    <xf numFmtId="0" fontId="10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5" fillId="0" borderId="0" xfId="0" applyFont="1" applyAlignment="1"/>
    <xf numFmtId="0" fontId="18" fillId="0" borderId="0" xfId="0" applyFont="1" applyAlignment="1"/>
    <xf numFmtId="0" fontId="19" fillId="0" borderId="8" xfId="0" applyFont="1" applyFill="1" applyBorder="1" applyAlignment="1">
      <alignment horizontal="center"/>
    </xf>
    <xf numFmtId="0" fontId="19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22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3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3" fillId="24" borderId="17" xfId="38" applyFill="1" applyBorder="1" applyAlignment="1" applyProtection="1">
      <alignment horizontal="right" vertical="top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>
      <alignment vertical="top"/>
    </xf>
    <xf numFmtId="0" fontId="25" fillId="0" borderId="0" xfId="0" applyFont="1" applyAlignment="1">
      <alignment horizontal="left"/>
    </xf>
    <xf numFmtId="0" fontId="41" fillId="0" borderId="0" xfId="42" applyFont="1"/>
    <xf numFmtId="0" fontId="41" fillId="0" borderId="0" xfId="42" applyFont="1" applyAlignment="1">
      <alignment horizontal="center"/>
    </xf>
    <xf numFmtId="0" fontId="41" fillId="0" borderId="0" xfId="42" applyFont="1" applyAlignment="1">
      <alignment horizontal="left"/>
    </xf>
    <xf numFmtId="0" fontId="16" fillId="0" borderId="0" xfId="43" applyFont="1" applyAlignment="1">
      <alignment horizontal="left"/>
    </xf>
    <xf numFmtId="0" fontId="16" fillId="0" borderId="0" xfId="43" applyFont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 CVn - O-C Diagr.</a:t>
            </a:r>
          </a:p>
        </c:rich>
      </c:tx>
      <c:layout>
        <c:manualLayout>
          <c:xMode val="edge"/>
          <c:yMode val="edge"/>
          <c:x val="0.3922114047287899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19749652294854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Active!$D$21:$D$201</c:f>
                <c:numCache>
                  <c:formatCode>General</c:formatCode>
                  <c:ptCount val="18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Active!$D$21:$D$201</c:f>
                <c:numCache>
                  <c:formatCode>General</c:formatCode>
                  <c:ptCount val="18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-244</c:v>
                </c:pt>
                <c:pt idx="1">
                  <c:v>-241</c:v>
                </c:pt>
                <c:pt idx="2">
                  <c:v>-238</c:v>
                </c:pt>
                <c:pt idx="3">
                  <c:v>0</c:v>
                </c:pt>
                <c:pt idx="4">
                  <c:v>564</c:v>
                </c:pt>
                <c:pt idx="5">
                  <c:v>624</c:v>
                </c:pt>
                <c:pt idx="6">
                  <c:v>4376</c:v>
                </c:pt>
                <c:pt idx="7">
                  <c:v>4384</c:v>
                </c:pt>
                <c:pt idx="8">
                  <c:v>4587</c:v>
                </c:pt>
                <c:pt idx="9">
                  <c:v>4650</c:v>
                </c:pt>
                <c:pt idx="10">
                  <c:v>4779</c:v>
                </c:pt>
                <c:pt idx="11">
                  <c:v>6694</c:v>
                </c:pt>
                <c:pt idx="12">
                  <c:v>8633</c:v>
                </c:pt>
                <c:pt idx="13">
                  <c:v>10936</c:v>
                </c:pt>
                <c:pt idx="14">
                  <c:v>10958</c:v>
                </c:pt>
                <c:pt idx="15">
                  <c:v>11661</c:v>
                </c:pt>
                <c:pt idx="16">
                  <c:v>12660</c:v>
                </c:pt>
                <c:pt idx="17">
                  <c:v>13591</c:v>
                </c:pt>
              </c:numCache>
            </c:numRef>
          </c:xVal>
          <c:yVal>
            <c:numRef>
              <c:f>Active!$H$21:$H$961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C8-4DBE-8B22-A9DF59E89B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-244</c:v>
                </c:pt>
                <c:pt idx="1">
                  <c:v>-241</c:v>
                </c:pt>
                <c:pt idx="2">
                  <c:v>-238</c:v>
                </c:pt>
                <c:pt idx="3">
                  <c:v>0</c:v>
                </c:pt>
                <c:pt idx="4">
                  <c:v>564</c:v>
                </c:pt>
                <c:pt idx="5">
                  <c:v>624</c:v>
                </c:pt>
                <c:pt idx="6">
                  <c:v>4376</c:v>
                </c:pt>
                <c:pt idx="7">
                  <c:v>4384</c:v>
                </c:pt>
                <c:pt idx="8">
                  <c:v>4587</c:v>
                </c:pt>
                <c:pt idx="9">
                  <c:v>4650</c:v>
                </c:pt>
                <c:pt idx="10">
                  <c:v>4779</c:v>
                </c:pt>
                <c:pt idx="11">
                  <c:v>6694</c:v>
                </c:pt>
                <c:pt idx="12">
                  <c:v>8633</c:v>
                </c:pt>
                <c:pt idx="13">
                  <c:v>10936</c:v>
                </c:pt>
                <c:pt idx="14">
                  <c:v>10958</c:v>
                </c:pt>
                <c:pt idx="15">
                  <c:v>11661</c:v>
                </c:pt>
                <c:pt idx="16">
                  <c:v>12660</c:v>
                </c:pt>
                <c:pt idx="17">
                  <c:v>13591</c:v>
                </c:pt>
              </c:numCache>
            </c:numRef>
          </c:xVal>
          <c:yVal>
            <c:numRef>
              <c:f>Active!$I$21:$I$961</c:f>
              <c:numCache>
                <c:formatCode>General</c:formatCode>
                <c:ptCount val="941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C8-4DBE-8B22-A9DF59E89B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-244</c:v>
                </c:pt>
                <c:pt idx="1">
                  <c:v>-241</c:v>
                </c:pt>
                <c:pt idx="2">
                  <c:v>-238</c:v>
                </c:pt>
                <c:pt idx="3">
                  <c:v>0</c:v>
                </c:pt>
                <c:pt idx="4">
                  <c:v>564</c:v>
                </c:pt>
                <c:pt idx="5">
                  <c:v>624</c:v>
                </c:pt>
                <c:pt idx="6">
                  <c:v>4376</c:v>
                </c:pt>
                <c:pt idx="7">
                  <c:v>4384</c:v>
                </c:pt>
                <c:pt idx="8">
                  <c:v>4587</c:v>
                </c:pt>
                <c:pt idx="9">
                  <c:v>4650</c:v>
                </c:pt>
                <c:pt idx="10">
                  <c:v>4779</c:v>
                </c:pt>
                <c:pt idx="11">
                  <c:v>6694</c:v>
                </c:pt>
                <c:pt idx="12">
                  <c:v>8633</c:v>
                </c:pt>
                <c:pt idx="13">
                  <c:v>10936</c:v>
                </c:pt>
                <c:pt idx="14">
                  <c:v>10958</c:v>
                </c:pt>
                <c:pt idx="15">
                  <c:v>11661</c:v>
                </c:pt>
                <c:pt idx="16">
                  <c:v>12660</c:v>
                </c:pt>
                <c:pt idx="17">
                  <c:v>13591</c:v>
                </c:pt>
              </c:numCache>
            </c:numRef>
          </c:xVal>
          <c:yVal>
            <c:numRef>
              <c:f>Active!$J$21:$J$961</c:f>
              <c:numCache>
                <c:formatCode>General</c:formatCode>
                <c:ptCount val="941"/>
                <c:pt idx="2">
                  <c:v>-2.1894000019528903E-3</c:v>
                </c:pt>
                <c:pt idx="4">
                  <c:v>-1.3267999966046773E-3</c:v>
                </c:pt>
                <c:pt idx="5">
                  <c:v>-1.8487999986973591E-3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C8-4DBE-8B22-A9DF59E89B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-244</c:v>
                </c:pt>
                <c:pt idx="1">
                  <c:v>-241</c:v>
                </c:pt>
                <c:pt idx="2">
                  <c:v>-238</c:v>
                </c:pt>
                <c:pt idx="3">
                  <c:v>0</c:v>
                </c:pt>
                <c:pt idx="4">
                  <c:v>564</c:v>
                </c:pt>
                <c:pt idx="5">
                  <c:v>624</c:v>
                </c:pt>
                <c:pt idx="6">
                  <c:v>4376</c:v>
                </c:pt>
                <c:pt idx="7">
                  <c:v>4384</c:v>
                </c:pt>
                <c:pt idx="8">
                  <c:v>4587</c:v>
                </c:pt>
                <c:pt idx="9">
                  <c:v>4650</c:v>
                </c:pt>
                <c:pt idx="10">
                  <c:v>4779</c:v>
                </c:pt>
                <c:pt idx="11">
                  <c:v>6694</c:v>
                </c:pt>
                <c:pt idx="12">
                  <c:v>8633</c:v>
                </c:pt>
                <c:pt idx="13">
                  <c:v>10936</c:v>
                </c:pt>
                <c:pt idx="14">
                  <c:v>10958</c:v>
                </c:pt>
                <c:pt idx="15">
                  <c:v>11661</c:v>
                </c:pt>
                <c:pt idx="16">
                  <c:v>12660</c:v>
                </c:pt>
                <c:pt idx="17">
                  <c:v>13591</c:v>
                </c:pt>
              </c:numCache>
            </c:numRef>
          </c:xVal>
          <c:yVal>
            <c:numRef>
              <c:f>Active!$K$21:$K$961</c:f>
              <c:numCache>
                <c:formatCode>General</c:formatCode>
                <c:ptCount val="941"/>
                <c:pt idx="6">
                  <c:v>3.687999997055158E-4</c:v>
                </c:pt>
                <c:pt idx="7">
                  <c:v>8.6919999739620835E-4</c:v>
                </c:pt>
                <c:pt idx="8">
                  <c:v>2.9310000536497682E-4</c:v>
                </c:pt>
                <c:pt idx="9">
                  <c:v>2.9499999800464138E-4</c:v>
                </c:pt>
                <c:pt idx="10">
                  <c:v>1.827000014600344E-4</c:v>
                </c:pt>
                <c:pt idx="11">
                  <c:v>1.3121999945724383E-3</c:v>
                </c:pt>
                <c:pt idx="13">
                  <c:v>3.9367999997921288E-3</c:v>
                </c:pt>
                <c:pt idx="14">
                  <c:v>3.7153999946895055E-3</c:v>
                </c:pt>
                <c:pt idx="16">
                  <c:v>4.4579999594134279E-3</c:v>
                </c:pt>
                <c:pt idx="17">
                  <c:v>5.1282999993418343E-3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C8-4DBE-8B22-A9DF59E89B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-244</c:v>
                </c:pt>
                <c:pt idx="1">
                  <c:v>-241</c:v>
                </c:pt>
                <c:pt idx="2">
                  <c:v>-238</c:v>
                </c:pt>
                <c:pt idx="3">
                  <c:v>0</c:v>
                </c:pt>
                <c:pt idx="4">
                  <c:v>564</c:v>
                </c:pt>
                <c:pt idx="5">
                  <c:v>624</c:v>
                </c:pt>
                <c:pt idx="6">
                  <c:v>4376</c:v>
                </c:pt>
                <c:pt idx="7">
                  <c:v>4384</c:v>
                </c:pt>
                <c:pt idx="8">
                  <c:v>4587</c:v>
                </c:pt>
                <c:pt idx="9">
                  <c:v>4650</c:v>
                </c:pt>
                <c:pt idx="10">
                  <c:v>4779</c:v>
                </c:pt>
                <c:pt idx="11">
                  <c:v>6694</c:v>
                </c:pt>
                <c:pt idx="12">
                  <c:v>8633</c:v>
                </c:pt>
                <c:pt idx="13">
                  <c:v>10936</c:v>
                </c:pt>
                <c:pt idx="14">
                  <c:v>10958</c:v>
                </c:pt>
                <c:pt idx="15">
                  <c:v>11661</c:v>
                </c:pt>
                <c:pt idx="16">
                  <c:v>12660</c:v>
                </c:pt>
                <c:pt idx="17">
                  <c:v>13591</c:v>
                </c:pt>
              </c:numCache>
            </c:numRef>
          </c:xVal>
          <c:yVal>
            <c:numRef>
              <c:f>Active!$L$21:$L$961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C8-4DBE-8B22-A9DF59E89B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-244</c:v>
                </c:pt>
                <c:pt idx="1">
                  <c:v>-241</c:v>
                </c:pt>
                <c:pt idx="2">
                  <c:v>-238</c:v>
                </c:pt>
                <c:pt idx="3">
                  <c:v>0</c:v>
                </c:pt>
                <c:pt idx="4">
                  <c:v>564</c:v>
                </c:pt>
                <c:pt idx="5">
                  <c:v>624</c:v>
                </c:pt>
                <c:pt idx="6">
                  <c:v>4376</c:v>
                </c:pt>
                <c:pt idx="7">
                  <c:v>4384</c:v>
                </c:pt>
                <c:pt idx="8">
                  <c:v>4587</c:v>
                </c:pt>
                <c:pt idx="9">
                  <c:v>4650</c:v>
                </c:pt>
                <c:pt idx="10">
                  <c:v>4779</c:v>
                </c:pt>
                <c:pt idx="11">
                  <c:v>6694</c:v>
                </c:pt>
                <c:pt idx="12">
                  <c:v>8633</c:v>
                </c:pt>
                <c:pt idx="13">
                  <c:v>10936</c:v>
                </c:pt>
                <c:pt idx="14">
                  <c:v>10958</c:v>
                </c:pt>
                <c:pt idx="15">
                  <c:v>11661</c:v>
                </c:pt>
                <c:pt idx="16">
                  <c:v>12660</c:v>
                </c:pt>
                <c:pt idx="17">
                  <c:v>13591</c:v>
                </c:pt>
              </c:numCache>
            </c:numRef>
          </c:xVal>
          <c:yVal>
            <c:numRef>
              <c:f>Active!$M$21:$M$961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C8-4DBE-8B22-A9DF59E89B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-244</c:v>
                </c:pt>
                <c:pt idx="1">
                  <c:v>-241</c:v>
                </c:pt>
                <c:pt idx="2">
                  <c:v>-238</c:v>
                </c:pt>
                <c:pt idx="3">
                  <c:v>0</c:v>
                </c:pt>
                <c:pt idx="4">
                  <c:v>564</c:v>
                </c:pt>
                <c:pt idx="5">
                  <c:v>624</c:v>
                </c:pt>
                <c:pt idx="6">
                  <c:v>4376</c:v>
                </c:pt>
                <c:pt idx="7">
                  <c:v>4384</c:v>
                </c:pt>
                <c:pt idx="8">
                  <c:v>4587</c:v>
                </c:pt>
                <c:pt idx="9">
                  <c:v>4650</c:v>
                </c:pt>
                <c:pt idx="10">
                  <c:v>4779</c:v>
                </c:pt>
                <c:pt idx="11">
                  <c:v>6694</c:v>
                </c:pt>
                <c:pt idx="12">
                  <c:v>8633</c:v>
                </c:pt>
                <c:pt idx="13">
                  <c:v>10936</c:v>
                </c:pt>
                <c:pt idx="14">
                  <c:v>10958</c:v>
                </c:pt>
                <c:pt idx="15">
                  <c:v>11661</c:v>
                </c:pt>
                <c:pt idx="16">
                  <c:v>12660</c:v>
                </c:pt>
                <c:pt idx="17">
                  <c:v>13591</c:v>
                </c:pt>
              </c:numCache>
            </c:numRef>
          </c:xVal>
          <c:yVal>
            <c:numRef>
              <c:f>Active!$N$21:$N$961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C8-4DBE-8B22-A9DF59E89B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Active!$F$21:$F$961</c:f>
              <c:numCache>
                <c:formatCode>General</c:formatCode>
                <c:ptCount val="941"/>
                <c:pt idx="0">
                  <c:v>-244</c:v>
                </c:pt>
                <c:pt idx="1">
                  <c:v>-241</c:v>
                </c:pt>
                <c:pt idx="2">
                  <c:v>-238</c:v>
                </c:pt>
                <c:pt idx="3">
                  <c:v>0</c:v>
                </c:pt>
                <c:pt idx="4">
                  <c:v>564</c:v>
                </c:pt>
                <c:pt idx="5">
                  <c:v>624</c:v>
                </c:pt>
                <c:pt idx="6">
                  <c:v>4376</c:v>
                </c:pt>
                <c:pt idx="7">
                  <c:v>4384</c:v>
                </c:pt>
                <c:pt idx="8">
                  <c:v>4587</c:v>
                </c:pt>
                <c:pt idx="9">
                  <c:v>4650</c:v>
                </c:pt>
                <c:pt idx="10">
                  <c:v>4779</c:v>
                </c:pt>
                <c:pt idx="11">
                  <c:v>6694</c:v>
                </c:pt>
                <c:pt idx="12">
                  <c:v>8633</c:v>
                </c:pt>
                <c:pt idx="13">
                  <c:v>10936</c:v>
                </c:pt>
                <c:pt idx="14">
                  <c:v>10958</c:v>
                </c:pt>
                <c:pt idx="15">
                  <c:v>11661</c:v>
                </c:pt>
                <c:pt idx="16">
                  <c:v>12660</c:v>
                </c:pt>
                <c:pt idx="17">
                  <c:v>13591</c:v>
                </c:pt>
              </c:numCache>
            </c:numRef>
          </c:xVal>
          <c:yVal>
            <c:numRef>
              <c:f>Active!$O$21:$O$961</c:f>
              <c:numCache>
                <c:formatCode>General</c:formatCode>
                <c:ptCount val="941"/>
                <c:pt idx="0">
                  <c:v>-2.0922860033801582E-3</c:v>
                </c:pt>
                <c:pt idx="1">
                  <c:v>-2.090730004823944E-3</c:v>
                </c:pt>
                <c:pt idx="2">
                  <c:v>-2.0891740062677299E-3</c:v>
                </c:pt>
                <c:pt idx="3">
                  <c:v>-1.9657314541413999E-3</c:v>
                </c:pt>
                <c:pt idx="4">
                  <c:v>-1.6732037255731223E-3</c:v>
                </c:pt>
                <c:pt idx="5">
                  <c:v>-1.6420837544488375E-3</c:v>
                </c:pt>
                <c:pt idx="6">
                  <c:v>3.0395177318977501E-4</c:v>
                </c:pt>
                <c:pt idx="7">
                  <c:v>3.0810110267301275E-4</c:v>
                </c:pt>
                <c:pt idx="8">
                  <c:v>4.1339033831017677E-4</c:v>
                </c:pt>
                <c:pt idx="9">
                  <c:v>4.4606630799067567E-4</c:v>
                </c:pt>
                <c:pt idx="10">
                  <c:v>5.1297424590788804E-4</c:v>
                </c:pt>
                <c:pt idx="11">
                  <c:v>1.5062199909579794E-3</c:v>
                </c:pt>
                <c:pt idx="12">
                  <c:v>2.5119137244577847E-3</c:v>
                </c:pt>
                <c:pt idx="13">
                  <c:v>3.7064019494449183E-3</c:v>
                </c:pt>
                <c:pt idx="14">
                  <c:v>3.7178126055238229E-3</c:v>
                </c:pt>
                <c:pt idx="15">
                  <c:v>4.0824349338633601E-3</c:v>
                </c:pt>
                <c:pt idx="16">
                  <c:v>4.6005824530827031E-3</c:v>
                </c:pt>
                <c:pt idx="17">
                  <c:v>5.0834606716945226E-3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C8-4DBE-8B22-A9DF59E89BF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Active!$D$21:$D$34</c:f>
                <c:numCache>
                  <c:formatCode>General</c:formatCode>
                  <c:ptCount val="14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Active!$D$21:$D$34</c:f>
                <c:numCache>
                  <c:formatCode>General</c:formatCode>
                  <c:ptCount val="14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-244</c:v>
                </c:pt>
                <c:pt idx="1">
                  <c:v>-241</c:v>
                </c:pt>
                <c:pt idx="2">
                  <c:v>-238</c:v>
                </c:pt>
                <c:pt idx="3">
                  <c:v>0</c:v>
                </c:pt>
                <c:pt idx="4">
                  <c:v>564</c:v>
                </c:pt>
                <c:pt idx="5">
                  <c:v>624</c:v>
                </c:pt>
                <c:pt idx="6">
                  <c:v>4376</c:v>
                </c:pt>
                <c:pt idx="7">
                  <c:v>4384</c:v>
                </c:pt>
                <c:pt idx="8">
                  <c:v>4587</c:v>
                </c:pt>
                <c:pt idx="9">
                  <c:v>4650</c:v>
                </c:pt>
                <c:pt idx="10">
                  <c:v>4779</c:v>
                </c:pt>
                <c:pt idx="11">
                  <c:v>6694</c:v>
                </c:pt>
                <c:pt idx="12">
                  <c:v>8633</c:v>
                </c:pt>
                <c:pt idx="13">
                  <c:v>10936</c:v>
                </c:pt>
                <c:pt idx="14">
                  <c:v>10958</c:v>
                </c:pt>
                <c:pt idx="15">
                  <c:v>11661</c:v>
                </c:pt>
                <c:pt idx="16">
                  <c:v>12660</c:v>
                </c:pt>
                <c:pt idx="17">
                  <c:v>13591</c:v>
                </c:pt>
              </c:numCache>
            </c:numRef>
          </c:xVal>
          <c:yVal>
            <c:numRef>
              <c:f>Active!$U$21:$U$961</c:f>
              <c:numCache>
                <c:formatCode>General</c:formatCode>
                <c:ptCount val="941"/>
                <c:pt idx="0">
                  <c:v>2.4428000033367425E-3</c:v>
                </c:pt>
                <c:pt idx="1">
                  <c:v>2.2267000022111461E-3</c:v>
                </c:pt>
                <c:pt idx="3">
                  <c:v>0</c:v>
                </c:pt>
                <c:pt idx="12">
                  <c:v>-2.3697100004937965E-2</c:v>
                </c:pt>
                <c:pt idx="15">
                  <c:v>-4.0070000250125304E-4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AC8-4DBE-8B22-A9DF59E89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543896"/>
        <c:axId val="1"/>
      </c:scatterChart>
      <c:valAx>
        <c:axId val="610543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118219749652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4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543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83031988873435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 CVn - O-C Diagr.</a:t>
            </a:r>
          </a:p>
        </c:rich>
      </c:tx>
      <c:layout>
        <c:manualLayout>
          <c:xMode val="edge"/>
          <c:yMode val="edge"/>
          <c:x val="0.3828835134346945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994189017784567"/>
          <c:w val="0.81081199971260276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Active!$D$21:$D$201</c:f>
                <c:numCache>
                  <c:formatCode>General</c:formatCode>
                  <c:ptCount val="18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Active!$D$21:$D$201</c:f>
                <c:numCache>
                  <c:formatCode>General</c:formatCode>
                  <c:ptCount val="18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-244</c:v>
                </c:pt>
                <c:pt idx="1">
                  <c:v>-241</c:v>
                </c:pt>
                <c:pt idx="2">
                  <c:v>-238</c:v>
                </c:pt>
                <c:pt idx="3">
                  <c:v>0</c:v>
                </c:pt>
                <c:pt idx="4">
                  <c:v>564</c:v>
                </c:pt>
                <c:pt idx="5">
                  <c:v>624</c:v>
                </c:pt>
                <c:pt idx="6">
                  <c:v>4376</c:v>
                </c:pt>
                <c:pt idx="7">
                  <c:v>4384</c:v>
                </c:pt>
                <c:pt idx="8">
                  <c:v>4587</c:v>
                </c:pt>
                <c:pt idx="9">
                  <c:v>4650</c:v>
                </c:pt>
                <c:pt idx="10">
                  <c:v>4779</c:v>
                </c:pt>
                <c:pt idx="11">
                  <c:v>6694</c:v>
                </c:pt>
                <c:pt idx="12">
                  <c:v>8633</c:v>
                </c:pt>
                <c:pt idx="13">
                  <c:v>10936</c:v>
                </c:pt>
                <c:pt idx="14">
                  <c:v>10958</c:v>
                </c:pt>
                <c:pt idx="15">
                  <c:v>11661</c:v>
                </c:pt>
                <c:pt idx="16">
                  <c:v>12660</c:v>
                </c:pt>
                <c:pt idx="17">
                  <c:v>13591</c:v>
                </c:pt>
              </c:numCache>
            </c:numRef>
          </c:xVal>
          <c:yVal>
            <c:numRef>
              <c:f>Active!$H$21:$H$961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66-45A9-B13B-1E00771BFD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-244</c:v>
                </c:pt>
                <c:pt idx="1">
                  <c:v>-241</c:v>
                </c:pt>
                <c:pt idx="2">
                  <c:v>-238</c:v>
                </c:pt>
                <c:pt idx="3">
                  <c:v>0</c:v>
                </c:pt>
                <c:pt idx="4">
                  <c:v>564</c:v>
                </c:pt>
                <c:pt idx="5">
                  <c:v>624</c:v>
                </c:pt>
                <c:pt idx="6">
                  <c:v>4376</c:v>
                </c:pt>
                <c:pt idx="7">
                  <c:v>4384</c:v>
                </c:pt>
                <c:pt idx="8">
                  <c:v>4587</c:v>
                </c:pt>
                <c:pt idx="9">
                  <c:v>4650</c:v>
                </c:pt>
                <c:pt idx="10">
                  <c:v>4779</c:v>
                </c:pt>
                <c:pt idx="11">
                  <c:v>6694</c:v>
                </c:pt>
                <c:pt idx="12">
                  <c:v>8633</c:v>
                </c:pt>
                <c:pt idx="13">
                  <c:v>10936</c:v>
                </c:pt>
                <c:pt idx="14">
                  <c:v>10958</c:v>
                </c:pt>
                <c:pt idx="15">
                  <c:v>11661</c:v>
                </c:pt>
                <c:pt idx="16">
                  <c:v>12660</c:v>
                </c:pt>
                <c:pt idx="17">
                  <c:v>13591</c:v>
                </c:pt>
              </c:numCache>
            </c:numRef>
          </c:xVal>
          <c:yVal>
            <c:numRef>
              <c:f>Active!$I$21:$I$961</c:f>
              <c:numCache>
                <c:formatCode>General</c:formatCode>
                <c:ptCount val="941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66-45A9-B13B-1E00771BFDD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-244</c:v>
                </c:pt>
                <c:pt idx="1">
                  <c:v>-241</c:v>
                </c:pt>
                <c:pt idx="2">
                  <c:v>-238</c:v>
                </c:pt>
                <c:pt idx="3">
                  <c:v>0</c:v>
                </c:pt>
                <c:pt idx="4">
                  <c:v>564</c:v>
                </c:pt>
                <c:pt idx="5">
                  <c:v>624</c:v>
                </c:pt>
                <c:pt idx="6">
                  <c:v>4376</c:v>
                </c:pt>
                <c:pt idx="7">
                  <c:v>4384</c:v>
                </c:pt>
                <c:pt idx="8">
                  <c:v>4587</c:v>
                </c:pt>
                <c:pt idx="9">
                  <c:v>4650</c:v>
                </c:pt>
                <c:pt idx="10">
                  <c:v>4779</c:v>
                </c:pt>
                <c:pt idx="11">
                  <c:v>6694</c:v>
                </c:pt>
                <c:pt idx="12">
                  <c:v>8633</c:v>
                </c:pt>
                <c:pt idx="13">
                  <c:v>10936</c:v>
                </c:pt>
                <c:pt idx="14">
                  <c:v>10958</c:v>
                </c:pt>
                <c:pt idx="15">
                  <c:v>11661</c:v>
                </c:pt>
                <c:pt idx="16">
                  <c:v>12660</c:v>
                </c:pt>
                <c:pt idx="17">
                  <c:v>13591</c:v>
                </c:pt>
              </c:numCache>
            </c:numRef>
          </c:xVal>
          <c:yVal>
            <c:numRef>
              <c:f>Active!$J$21:$J$961</c:f>
              <c:numCache>
                <c:formatCode>General</c:formatCode>
                <c:ptCount val="941"/>
                <c:pt idx="2">
                  <c:v>-2.1894000019528903E-3</c:v>
                </c:pt>
                <c:pt idx="4">
                  <c:v>-1.3267999966046773E-3</c:v>
                </c:pt>
                <c:pt idx="5">
                  <c:v>-1.8487999986973591E-3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66-45A9-B13B-1E00771BFDD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-244</c:v>
                </c:pt>
                <c:pt idx="1">
                  <c:v>-241</c:v>
                </c:pt>
                <c:pt idx="2">
                  <c:v>-238</c:v>
                </c:pt>
                <c:pt idx="3">
                  <c:v>0</c:v>
                </c:pt>
                <c:pt idx="4">
                  <c:v>564</c:v>
                </c:pt>
                <c:pt idx="5">
                  <c:v>624</c:v>
                </c:pt>
                <c:pt idx="6">
                  <c:v>4376</c:v>
                </c:pt>
                <c:pt idx="7">
                  <c:v>4384</c:v>
                </c:pt>
                <c:pt idx="8">
                  <c:v>4587</c:v>
                </c:pt>
                <c:pt idx="9">
                  <c:v>4650</c:v>
                </c:pt>
                <c:pt idx="10">
                  <c:v>4779</c:v>
                </c:pt>
                <c:pt idx="11">
                  <c:v>6694</c:v>
                </c:pt>
                <c:pt idx="12">
                  <c:v>8633</c:v>
                </c:pt>
                <c:pt idx="13">
                  <c:v>10936</c:v>
                </c:pt>
                <c:pt idx="14">
                  <c:v>10958</c:v>
                </c:pt>
                <c:pt idx="15">
                  <c:v>11661</c:v>
                </c:pt>
                <c:pt idx="16">
                  <c:v>12660</c:v>
                </c:pt>
                <c:pt idx="17">
                  <c:v>13591</c:v>
                </c:pt>
              </c:numCache>
            </c:numRef>
          </c:xVal>
          <c:yVal>
            <c:numRef>
              <c:f>Active!$K$21:$K$961</c:f>
              <c:numCache>
                <c:formatCode>General</c:formatCode>
                <c:ptCount val="941"/>
                <c:pt idx="6">
                  <c:v>3.687999997055158E-4</c:v>
                </c:pt>
                <c:pt idx="7">
                  <c:v>8.6919999739620835E-4</c:v>
                </c:pt>
                <c:pt idx="8">
                  <c:v>2.9310000536497682E-4</c:v>
                </c:pt>
                <c:pt idx="9">
                  <c:v>2.9499999800464138E-4</c:v>
                </c:pt>
                <c:pt idx="10">
                  <c:v>1.827000014600344E-4</c:v>
                </c:pt>
                <c:pt idx="11">
                  <c:v>1.3121999945724383E-3</c:v>
                </c:pt>
                <c:pt idx="13">
                  <c:v>3.9367999997921288E-3</c:v>
                </c:pt>
                <c:pt idx="14">
                  <c:v>3.7153999946895055E-3</c:v>
                </c:pt>
                <c:pt idx="16">
                  <c:v>4.4579999594134279E-3</c:v>
                </c:pt>
                <c:pt idx="17">
                  <c:v>5.1282999993418343E-3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66-45A9-B13B-1E00771BFDD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-244</c:v>
                </c:pt>
                <c:pt idx="1">
                  <c:v>-241</c:v>
                </c:pt>
                <c:pt idx="2">
                  <c:v>-238</c:v>
                </c:pt>
                <c:pt idx="3">
                  <c:v>0</c:v>
                </c:pt>
                <c:pt idx="4">
                  <c:v>564</c:v>
                </c:pt>
                <c:pt idx="5">
                  <c:v>624</c:v>
                </c:pt>
                <c:pt idx="6">
                  <c:v>4376</c:v>
                </c:pt>
                <c:pt idx="7">
                  <c:v>4384</c:v>
                </c:pt>
                <c:pt idx="8">
                  <c:v>4587</c:v>
                </c:pt>
                <c:pt idx="9">
                  <c:v>4650</c:v>
                </c:pt>
                <c:pt idx="10">
                  <c:v>4779</c:v>
                </c:pt>
                <c:pt idx="11">
                  <c:v>6694</c:v>
                </c:pt>
                <c:pt idx="12">
                  <c:v>8633</c:v>
                </c:pt>
                <c:pt idx="13">
                  <c:v>10936</c:v>
                </c:pt>
                <c:pt idx="14">
                  <c:v>10958</c:v>
                </c:pt>
                <c:pt idx="15">
                  <c:v>11661</c:v>
                </c:pt>
                <c:pt idx="16">
                  <c:v>12660</c:v>
                </c:pt>
                <c:pt idx="17">
                  <c:v>13591</c:v>
                </c:pt>
              </c:numCache>
            </c:numRef>
          </c:xVal>
          <c:yVal>
            <c:numRef>
              <c:f>Active!$L$21:$L$961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66-45A9-B13B-1E00771BFD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-244</c:v>
                </c:pt>
                <c:pt idx="1">
                  <c:v>-241</c:v>
                </c:pt>
                <c:pt idx="2">
                  <c:v>-238</c:v>
                </c:pt>
                <c:pt idx="3">
                  <c:v>0</c:v>
                </c:pt>
                <c:pt idx="4">
                  <c:v>564</c:v>
                </c:pt>
                <c:pt idx="5">
                  <c:v>624</c:v>
                </c:pt>
                <c:pt idx="6">
                  <c:v>4376</c:v>
                </c:pt>
                <c:pt idx="7">
                  <c:v>4384</c:v>
                </c:pt>
                <c:pt idx="8">
                  <c:v>4587</c:v>
                </c:pt>
                <c:pt idx="9">
                  <c:v>4650</c:v>
                </c:pt>
                <c:pt idx="10">
                  <c:v>4779</c:v>
                </c:pt>
                <c:pt idx="11">
                  <c:v>6694</c:v>
                </c:pt>
                <c:pt idx="12">
                  <c:v>8633</c:v>
                </c:pt>
                <c:pt idx="13">
                  <c:v>10936</c:v>
                </c:pt>
                <c:pt idx="14">
                  <c:v>10958</c:v>
                </c:pt>
                <c:pt idx="15">
                  <c:v>11661</c:v>
                </c:pt>
                <c:pt idx="16">
                  <c:v>12660</c:v>
                </c:pt>
                <c:pt idx="17">
                  <c:v>13591</c:v>
                </c:pt>
              </c:numCache>
            </c:numRef>
          </c:xVal>
          <c:yVal>
            <c:numRef>
              <c:f>Active!$M$21:$M$961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66-45A9-B13B-1E00771BFD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Active!$D$21:$D$961</c:f>
                <c:numCache>
                  <c:formatCode>General</c:formatCode>
                  <c:ptCount val="941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5.9999999999999995E-4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-244</c:v>
                </c:pt>
                <c:pt idx="1">
                  <c:v>-241</c:v>
                </c:pt>
                <c:pt idx="2">
                  <c:v>-238</c:v>
                </c:pt>
                <c:pt idx="3">
                  <c:v>0</c:v>
                </c:pt>
                <c:pt idx="4">
                  <c:v>564</c:v>
                </c:pt>
                <c:pt idx="5">
                  <c:v>624</c:v>
                </c:pt>
                <c:pt idx="6">
                  <c:v>4376</c:v>
                </c:pt>
                <c:pt idx="7">
                  <c:v>4384</c:v>
                </c:pt>
                <c:pt idx="8">
                  <c:v>4587</c:v>
                </c:pt>
                <c:pt idx="9">
                  <c:v>4650</c:v>
                </c:pt>
                <c:pt idx="10">
                  <c:v>4779</c:v>
                </c:pt>
                <c:pt idx="11">
                  <c:v>6694</c:v>
                </c:pt>
                <c:pt idx="12">
                  <c:v>8633</c:v>
                </c:pt>
                <c:pt idx="13">
                  <c:v>10936</c:v>
                </c:pt>
                <c:pt idx="14">
                  <c:v>10958</c:v>
                </c:pt>
                <c:pt idx="15">
                  <c:v>11661</c:v>
                </c:pt>
                <c:pt idx="16">
                  <c:v>12660</c:v>
                </c:pt>
                <c:pt idx="17">
                  <c:v>13591</c:v>
                </c:pt>
              </c:numCache>
            </c:numRef>
          </c:xVal>
          <c:yVal>
            <c:numRef>
              <c:f>Active!$N$21:$N$961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66-45A9-B13B-1E00771BFD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Active!$F$21:$F$961</c:f>
              <c:numCache>
                <c:formatCode>General</c:formatCode>
                <c:ptCount val="941"/>
                <c:pt idx="0">
                  <c:v>-244</c:v>
                </c:pt>
                <c:pt idx="1">
                  <c:v>-241</c:v>
                </c:pt>
                <c:pt idx="2">
                  <c:v>-238</c:v>
                </c:pt>
                <c:pt idx="3">
                  <c:v>0</c:v>
                </c:pt>
                <c:pt idx="4">
                  <c:v>564</c:v>
                </c:pt>
                <c:pt idx="5">
                  <c:v>624</c:v>
                </c:pt>
                <c:pt idx="6">
                  <c:v>4376</c:v>
                </c:pt>
                <c:pt idx="7">
                  <c:v>4384</c:v>
                </c:pt>
                <c:pt idx="8">
                  <c:v>4587</c:v>
                </c:pt>
                <c:pt idx="9">
                  <c:v>4650</c:v>
                </c:pt>
                <c:pt idx="10">
                  <c:v>4779</c:v>
                </c:pt>
                <c:pt idx="11">
                  <c:v>6694</c:v>
                </c:pt>
                <c:pt idx="12">
                  <c:v>8633</c:v>
                </c:pt>
                <c:pt idx="13">
                  <c:v>10936</c:v>
                </c:pt>
                <c:pt idx="14">
                  <c:v>10958</c:v>
                </c:pt>
                <c:pt idx="15">
                  <c:v>11661</c:v>
                </c:pt>
                <c:pt idx="16">
                  <c:v>12660</c:v>
                </c:pt>
                <c:pt idx="17">
                  <c:v>13591</c:v>
                </c:pt>
              </c:numCache>
            </c:numRef>
          </c:xVal>
          <c:yVal>
            <c:numRef>
              <c:f>Active!$O$21:$O$961</c:f>
              <c:numCache>
                <c:formatCode>General</c:formatCode>
                <c:ptCount val="941"/>
                <c:pt idx="0">
                  <c:v>-2.0922860033801582E-3</c:v>
                </c:pt>
                <c:pt idx="1">
                  <c:v>-2.090730004823944E-3</c:v>
                </c:pt>
                <c:pt idx="2">
                  <c:v>-2.0891740062677299E-3</c:v>
                </c:pt>
                <c:pt idx="3">
                  <c:v>-1.9657314541413999E-3</c:v>
                </c:pt>
                <c:pt idx="4">
                  <c:v>-1.6732037255731223E-3</c:v>
                </c:pt>
                <c:pt idx="5">
                  <c:v>-1.6420837544488375E-3</c:v>
                </c:pt>
                <c:pt idx="6">
                  <c:v>3.0395177318977501E-4</c:v>
                </c:pt>
                <c:pt idx="7">
                  <c:v>3.0810110267301275E-4</c:v>
                </c:pt>
                <c:pt idx="8">
                  <c:v>4.1339033831017677E-4</c:v>
                </c:pt>
                <c:pt idx="9">
                  <c:v>4.4606630799067567E-4</c:v>
                </c:pt>
                <c:pt idx="10">
                  <c:v>5.1297424590788804E-4</c:v>
                </c:pt>
                <c:pt idx="11">
                  <c:v>1.5062199909579794E-3</c:v>
                </c:pt>
                <c:pt idx="12">
                  <c:v>2.5119137244577847E-3</c:v>
                </c:pt>
                <c:pt idx="13">
                  <c:v>3.7064019494449183E-3</c:v>
                </c:pt>
                <c:pt idx="14">
                  <c:v>3.7178126055238229E-3</c:v>
                </c:pt>
                <c:pt idx="15">
                  <c:v>4.0824349338633601E-3</c:v>
                </c:pt>
                <c:pt idx="16">
                  <c:v>4.6005824530827031E-3</c:v>
                </c:pt>
                <c:pt idx="17">
                  <c:v>5.0834606716945226E-3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66-45A9-B13B-1E00771BFDD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Active!$D$21:$D$34</c:f>
                <c:numCache>
                  <c:formatCode>General</c:formatCode>
                  <c:ptCount val="14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Active!$D$21:$D$34</c:f>
                <c:numCache>
                  <c:formatCode>General</c:formatCode>
                  <c:ptCount val="14"/>
                  <c:pt idx="0">
                    <c:v>1E-4</c:v>
                  </c:pt>
                  <c:pt idx="1">
                    <c:v>2.2000000000000001E-3</c:v>
                  </c:pt>
                  <c:pt idx="2">
                    <c:v>4.0000000000000002E-4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4.0000000000000003E-5</c:v>
                  </c:pt>
                  <c:pt idx="10">
                    <c:v>2.9999999999999997E-4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-244</c:v>
                </c:pt>
                <c:pt idx="1">
                  <c:v>-241</c:v>
                </c:pt>
                <c:pt idx="2">
                  <c:v>-238</c:v>
                </c:pt>
                <c:pt idx="3">
                  <c:v>0</c:v>
                </c:pt>
                <c:pt idx="4">
                  <c:v>564</c:v>
                </c:pt>
                <c:pt idx="5">
                  <c:v>624</c:v>
                </c:pt>
                <c:pt idx="6">
                  <c:v>4376</c:v>
                </c:pt>
                <c:pt idx="7">
                  <c:v>4384</c:v>
                </c:pt>
                <c:pt idx="8">
                  <c:v>4587</c:v>
                </c:pt>
                <c:pt idx="9">
                  <c:v>4650</c:v>
                </c:pt>
                <c:pt idx="10">
                  <c:v>4779</c:v>
                </c:pt>
                <c:pt idx="11">
                  <c:v>6694</c:v>
                </c:pt>
                <c:pt idx="12">
                  <c:v>8633</c:v>
                </c:pt>
                <c:pt idx="13">
                  <c:v>10936</c:v>
                </c:pt>
                <c:pt idx="14">
                  <c:v>10958</c:v>
                </c:pt>
                <c:pt idx="15">
                  <c:v>11661</c:v>
                </c:pt>
                <c:pt idx="16">
                  <c:v>12660</c:v>
                </c:pt>
                <c:pt idx="17">
                  <c:v>13591</c:v>
                </c:pt>
              </c:numCache>
            </c:numRef>
          </c:xVal>
          <c:yVal>
            <c:numRef>
              <c:f>Active!$U$21:$U$961</c:f>
              <c:numCache>
                <c:formatCode>General</c:formatCode>
                <c:ptCount val="941"/>
                <c:pt idx="0">
                  <c:v>2.4428000033367425E-3</c:v>
                </c:pt>
                <c:pt idx="1">
                  <c:v>2.2267000022111461E-3</c:v>
                </c:pt>
                <c:pt idx="3">
                  <c:v>0</c:v>
                </c:pt>
                <c:pt idx="12">
                  <c:v>-2.3697100004937965E-2</c:v>
                </c:pt>
                <c:pt idx="15">
                  <c:v>-4.0070000250125304E-4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66-45A9-B13B-1E00771BF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448312"/>
        <c:axId val="1"/>
      </c:scatterChart>
      <c:valAx>
        <c:axId val="768448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448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71502999062053"/>
          <c:y val="0.92419947506561673"/>
          <c:w val="0.7132143166788835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 CVn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(2)'!$D$21:$D$222</c:f>
                <c:numCache>
                  <c:formatCode>General</c:formatCode>
                  <c:ptCount val="202"/>
                  <c:pt idx="0">
                    <c:v>1E-4</c:v>
                  </c:pt>
                  <c:pt idx="2">
                    <c:v>1E-3</c:v>
                  </c:pt>
                </c:numCache>
              </c:numRef>
            </c:plus>
            <c:minus>
              <c:numRef>
                <c:f>'A (2)'!$D$21:$D$222</c:f>
                <c:numCache>
                  <c:formatCode>General</c:formatCode>
                  <c:ptCount val="202"/>
                  <c:pt idx="0">
                    <c:v>1E-4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-244</c:v>
                </c:pt>
                <c:pt idx="1">
                  <c:v>0</c:v>
                </c:pt>
                <c:pt idx="2">
                  <c:v>6694</c:v>
                </c:pt>
              </c:numCache>
            </c:numRef>
          </c:xVal>
          <c:yVal>
            <c:numRef>
              <c:f>'A (2)'!$H$21:$H$982</c:f>
              <c:numCache>
                <c:formatCode>General</c:formatCode>
                <c:ptCount val="96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2E-4693-B2C9-56A1C8D5FF79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1E-4</c:v>
                  </c:pt>
                  <c:pt idx="2">
                    <c:v>1E-3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1E-4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-244</c:v>
                </c:pt>
                <c:pt idx="1">
                  <c:v>0</c:v>
                </c:pt>
                <c:pt idx="2">
                  <c:v>6694</c:v>
                </c:pt>
              </c:numCache>
            </c:numRef>
          </c:xVal>
          <c:yVal>
            <c:numRef>
              <c:f>'A (2)'!$I$21:$I$982</c:f>
              <c:numCache>
                <c:formatCode>General</c:formatCode>
                <c:ptCount val="962"/>
                <c:pt idx="0">
                  <c:v>2.443701756419614E-3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2E-4693-B2C9-56A1C8D5FF79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1E-4</c:v>
                  </c:pt>
                  <c:pt idx="2">
                    <c:v>1E-3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1E-4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-244</c:v>
                </c:pt>
                <c:pt idx="1">
                  <c:v>0</c:v>
                </c:pt>
                <c:pt idx="2">
                  <c:v>6694</c:v>
                </c:pt>
              </c:numCache>
            </c:numRef>
          </c:xVal>
          <c:yVal>
            <c:numRef>
              <c:f>'A (2)'!$J$21:$J$982</c:f>
              <c:numCache>
                <c:formatCode>General</c:formatCode>
                <c:ptCount val="962"/>
                <c:pt idx="2">
                  <c:v>1.2874608364654705E-3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2E-4693-B2C9-56A1C8D5FF79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1E-4</c:v>
                  </c:pt>
                  <c:pt idx="2">
                    <c:v>1E-3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1E-4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-244</c:v>
                </c:pt>
                <c:pt idx="1">
                  <c:v>0</c:v>
                </c:pt>
                <c:pt idx="2">
                  <c:v>6694</c:v>
                </c:pt>
              </c:numCache>
            </c:numRef>
          </c:xVal>
          <c:yVal>
            <c:numRef>
              <c:f>'A (2)'!$K$21:$K$982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2E-4693-B2C9-56A1C8D5FF79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1E-4</c:v>
                  </c:pt>
                  <c:pt idx="2">
                    <c:v>1E-3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1E-4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-244</c:v>
                </c:pt>
                <c:pt idx="1">
                  <c:v>0</c:v>
                </c:pt>
                <c:pt idx="2">
                  <c:v>6694</c:v>
                </c:pt>
              </c:numCache>
            </c:numRef>
          </c:xVal>
          <c:yVal>
            <c:numRef>
              <c:f>'A (2)'!$L$21:$L$982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2E-4693-B2C9-56A1C8D5FF79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1E-4</c:v>
                  </c:pt>
                  <c:pt idx="2">
                    <c:v>1E-3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1E-4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-244</c:v>
                </c:pt>
                <c:pt idx="1">
                  <c:v>0</c:v>
                </c:pt>
                <c:pt idx="2">
                  <c:v>6694</c:v>
                </c:pt>
              </c:numCache>
            </c:numRef>
          </c:xVal>
          <c:yVal>
            <c:numRef>
              <c:f>'A (2)'!$M$21:$M$982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2E-4693-B2C9-56A1C8D5FF79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1E-4</c:v>
                  </c:pt>
                  <c:pt idx="2">
                    <c:v>1E-3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1E-4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-244</c:v>
                </c:pt>
                <c:pt idx="1">
                  <c:v>0</c:v>
                </c:pt>
                <c:pt idx="2">
                  <c:v>6694</c:v>
                </c:pt>
              </c:numCache>
            </c:numRef>
          </c:xVal>
          <c:yVal>
            <c:numRef>
              <c:f>'A (2)'!$N$21:$N$982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2E-4693-B2C9-56A1C8D5FF79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(2)'!$F$21:$F$982</c:f>
              <c:numCache>
                <c:formatCode>General</c:formatCode>
                <c:ptCount val="962"/>
                <c:pt idx="0">
                  <c:v>-244</c:v>
                </c:pt>
                <c:pt idx="1">
                  <c:v>0</c:v>
                </c:pt>
                <c:pt idx="2">
                  <c:v>6694</c:v>
                </c:pt>
              </c:numCache>
            </c:numRef>
          </c:xVal>
          <c:yVal>
            <c:numRef>
              <c:f>'A (2)'!$O$21:$O$982</c:f>
              <c:numCache>
                <c:formatCode>General</c:formatCode>
                <c:ptCount val="962"/>
                <c:pt idx="0">
                  <c:v>2.443701756419614E-3</c:v>
                </c:pt>
                <c:pt idx="1">
                  <c:v>0</c:v>
                </c:pt>
                <c:pt idx="2">
                  <c:v>-6.7041555563413499E-2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2E-4693-B2C9-56A1C8D5F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249368"/>
        <c:axId val="1"/>
      </c:scatterChart>
      <c:valAx>
        <c:axId val="6122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249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75366568914952"/>
          <c:w val="0.6977443609022555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18</xdr:col>
      <xdr:colOff>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493CAD2-08CC-0BCD-52D2-FA7216E83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152400</xdr:colOff>
      <xdr:row>0</xdr:row>
      <xdr:rowOff>0</xdr:rowOff>
    </xdr:from>
    <xdr:to>
      <xdr:col>27</xdr:col>
      <xdr:colOff>381000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84AD1F1-2EDB-F748-349C-808217A81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3062DDB2-66F1-445D-948C-6242EFD26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548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konkoly.hu/cgi-bin/IBVS?6018" TargetMode="External"/><Relationship Id="rId2" Type="http://schemas.openxmlformats.org/officeDocument/2006/relationships/hyperlink" Target="http://www.konkoly.hu/cgi-bin/IBVS?5548" TargetMode="External"/><Relationship Id="rId1" Type="http://schemas.openxmlformats.org/officeDocument/2006/relationships/hyperlink" Target="http://www.konkoly.hu/cgi-bin/IBVS?5548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929" TargetMode="External"/><Relationship Id="rId5" Type="http://schemas.openxmlformats.org/officeDocument/2006/relationships/hyperlink" Target="http://www.konkoly.hu/cgi-bin/IBVS?5548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konkoly.hu/cgi-bin/IBVS?5548" TargetMode="External"/><Relationship Id="rId9" Type="http://schemas.openxmlformats.org/officeDocument/2006/relationships/hyperlink" Target="http://www.konkoly.hu/cgi-bin/IBVS?6007" TargetMode="External"/><Relationship Id="rId14" Type="http://schemas.openxmlformats.org/officeDocument/2006/relationships/hyperlink" Target="http://var.astro.cz/oejv/issues/oejv016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02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>
      <c r="A1" s="1" t="s">
        <v>41</v>
      </c>
    </row>
    <row r="2" spans="1:6">
      <c r="A2" t="s">
        <v>23</v>
      </c>
      <c r="B2" t="s">
        <v>42</v>
      </c>
      <c r="C2" s="3"/>
      <c r="D2" s="3"/>
    </row>
    <row r="3" spans="1:6" ht="13.5" thickBot="1"/>
    <row r="4" spans="1:6" ht="14.25" thickTop="1" thickBot="1">
      <c r="A4" s="5" t="s">
        <v>40</v>
      </c>
      <c r="C4" s="8">
        <v>52500.163</v>
      </c>
      <c r="D4" s="9">
        <v>0.36413869999999998</v>
      </c>
    </row>
    <row r="5" spans="1:6" ht="13.5" thickTop="1">
      <c r="A5" s="11" t="s">
        <v>30</v>
      </c>
      <c r="B5" s="12"/>
      <c r="C5" s="13">
        <v>-9.5</v>
      </c>
      <c r="D5" s="12" t="s">
        <v>31</v>
      </c>
    </row>
    <row r="6" spans="1:6">
      <c r="A6" s="5" t="s">
        <v>1</v>
      </c>
    </row>
    <row r="7" spans="1:6">
      <c r="A7" t="s">
        <v>2</v>
      </c>
      <c r="C7">
        <f>C4</f>
        <v>52500.163</v>
      </c>
    </row>
    <row r="8" spans="1:6">
      <c r="A8" t="s">
        <v>3</v>
      </c>
      <c r="C8">
        <f>D4</f>
        <v>0.36413869999999998</v>
      </c>
      <c r="D8" s="30"/>
    </row>
    <row r="9" spans="1:6">
      <c r="A9" s="27" t="s">
        <v>36</v>
      </c>
      <c r="B9" s="28">
        <v>22</v>
      </c>
      <c r="C9" s="25" t="str">
        <f>"F"&amp;B9</f>
        <v>F22</v>
      </c>
      <c r="D9" s="26" t="str">
        <f>"G"&amp;B9</f>
        <v>G22</v>
      </c>
    </row>
    <row r="10" spans="1:6" ht="13.5" thickBot="1">
      <c r="A10" s="12"/>
      <c r="B10" s="12"/>
      <c r="C10" s="4" t="s">
        <v>19</v>
      </c>
      <c r="D10" s="4" t="s">
        <v>20</v>
      </c>
      <c r="E10" s="12"/>
    </row>
    <row r="11" spans="1:6">
      <c r="A11" s="12" t="s">
        <v>15</v>
      </c>
      <c r="B11" s="12"/>
      <c r="C11" s="24">
        <f ca="1">INTERCEPT(INDIRECT($D$9):G972,INDIRECT($C$9):F972)</f>
        <v>-1.9657314541413999E-3</v>
      </c>
      <c r="D11" s="3"/>
      <c r="E11" s="12"/>
    </row>
    <row r="12" spans="1:6">
      <c r="A12" s="12" t="s">
        <v>16</v>
      </c>
      <c r="B12" s="12"/>
      <c r="C12" s="24">
        <f ca="1">SLOPE(INDIRECT($D$9):G972,INDIRECT($C$9):F972)</f>
        <v>5.1866618540474744E-7</v>
      </c>
      <c r="D12" s="3"/>
      <c r="E12" s="12"/>
    </row>
    <row r="13" spans="1:6">
      <c r="A13" s="12" t="s">
        <v>18</v>
      </c>
      <c r="B13" s="12"/>
      <c r="C13" s="3" t="s">
        <v>13</v>
      </c>
    </row>
    <row r="14" spans="1:6">
      <c r="A14" s="12"/>
      <c r="B14" s="12"/>
      <c r="C14" s="12"/>
    </row>
    <row r="15" spans="1:6">
      <c r="A15" s="14" t="s">
        <v>17</v>
      </c>
      <c r="B15" s="12"/>
      <c r="C15" s="15">
        <f ca="1">(C7+C11)+(C8+C12)*INT(MAX(F21:F3513))</f>
        <v>57449.177155160673</v>
      </c>
      <c r="E15" s="16" t="s">
        <v>48</v>
      </c>
      <c r="F15" s="13">
        <v>1</v>
      </c>
    </row>
    <row r="16" spans="1:6">
      <c r="A16" s="18" t="s">
        <v>4</v>
      </c>
      <c r="B16" s="12"/>
      <c r="C16" s="19">
        <f ca="1">+C8+C12</f>
        <v>0.36413921866618537</v>
      </c>
      <c r="E16" s="16" t="s">
        <v>32</v>
      </c>
      <c r="F16" s="17">
        <f ca="1">NOW()+15018.5+$C$5/24</f>
        <v>60339.725847106478</v>
      </c>
    </row>
    <row r="17" spans="1:22" ht="13.5" thickBot="1">
      <c r="A17" s="16" t="s">
        <v>29</v>
      </c>
      <c r="B17" s="12"/>
      <c r="C17" s="12">
        <f>COUNT(C21:C2171)</f>
        <v>18</v>
      </c>
      <c r="E17" s="16" t="s">
        <v>49</v>
      </c>
      <c r="F17" s="17">
        <f ca="1">ROUND(2*(F16-$C$7)/$C$8,0)/2+F15</f>
        <v>21530</v>
      </c>
    </row>
    <row r="18" spans="1:22" ht="14.25" thickTop="1" thickBot="1">
      <c r="A18" s="18" t="s">
        <v>5</v>
      </c>
      <c r="B18" s="12"/>
      <c r="C18" s="21">
        <f ca="1">+C15</f>
        <v>57449.177155160673</v>
      </c>
      <c r="D18" s="22">
        <f ca="1">+C16</f>
        <v>0.36413921866618537</v>
      </c>
      <c r="E18" s="16" t="s">
        <v>33</v>
      </c>
      <c r="F18" s="26">
        <f ca="1">ROUND(2*(F16-$C$15)/$C$16,0)/2+F15</f>
        <v>7939</v>
      </c>
    </row>
    <row r="19" spans="1:22" ht="13.5" thickTop="1">
      <c r="E19" s="16" t="s">
        <v>34</v>
      </c>
      <c r="F19" s="20">
        <f ca="1">+$C$15+$C$16*F18-15018.5-$C$5/24</f>
        <v>45321.974245484853</v>
      </c>
    </row>
    <row r="20" spans="1:22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63</v>
      </c>
      <c r="I20" s="7" t="s">
        <v>66</v>
      </c>
      <c r="J20" s="7" t="s">
        <v>60</v>
      </c>
      <c r="K20" s="7" t="s">
        <v>59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45" t="s">
        <v>52</v>
      </c>
    </row>
    <row r="21" spans="1:22">
      <c r="A21" s="33" t="s">
        <v>43</v>
      </c>
      <c r="B21" s="34" t="s">
        <v>37</v>
      </c>
      <c r="C21" s="37">
        <v>52411.315600000002</v>
      </c>
      <c r="D21" s="38">
        <v>1E-4</v>
      </c>
      <c r="E21" s="39">
        <f t="shared" ref="E21:E36" si="0">+(C21-C$7)/C$8</f>
        <v>-243.99329156719335</v>
      </c>
      <c r="F21" s="39">
        <f t="shared" ref="F21:F38" si="1">ROUND(2*E21,0)/2</f>
        <v>-244</v>
      </c>
      <c r="H21" s="39"/>
      <c r="I21" s="39"/>
      <c r="O21">
        <f t="shared" ref="O21:O36" ca="1" si="2">+C$11+C$12*$F21</f>
        <v>-2.0922860033801582E-3</v>
      </c>
      <c r="Q21" s="2">
        <f t="shared" ref="Q21:Q36" si="3">+C21-15018.5</f>
        <v>37392.815600000002</v>
      </c>
      <c r="R21" s="2"/>
      <c r="S21" s="2"/>
      <c r="T21" s="2"/>
      <c r="U21" s="47">
        <f>+C21-(C$7+F21*C$8)</f>
        <v>2.4428000033367425E-3</v>
      </c>
      <c r="V21" s="26"/>
    </row>
    <row r="22" spans="1:22">
      <c r="A22" s="40" t="s">
        <v>43</v>
      </c>
      <c r="B22" s="41" t="s">
        <v>37</v>
      </c>
      <c r="C22" s="40">
        <v>52412.407800000001</v>
      </c>
      <c r="D22" s="40">
        <v>2.2000000000000001E-3</v>
      </c>
      <c r="E22">
        <f t="shared" si="0"/>
        <v>-240.99388502238187</v>
      </c>
      <c r="F22">
        <f t="shared" si="1"/>
        <v>-241</v>
      </c>
      <c r="O22">
        <f t="shared" ca="1" si="2"/>
        <v>-2.090730004823944E-3</v>
      </c>
      <c r="Q22" s="2">
        <f t="shared" si="3"/>
        <v>37393.907800000001</v>
      </c>
      <c r="R22" s="2"/>
      <c r="S22" s="2"/>
      <c r="T22" s="2"/>
      <c r="U22" s="47">
        <f>+C22-(C$7+F22*C$8)</f>
        <v>2.2267000022111461E-3</v>
      </c>
    </row>
    <row r="23" spans="1:22">
      <c r="A23" s="40" t="s">
        <v>43</v>
      </c>
      <c r="B23" s="41" t="s">
        <v>37</v>
      </c>
      <c r="C23" s="40">
        <v>52413.495799999997</v>
      </c>
      <c r="D23" s="40">
        <v>4.0000000000000002E-4</v>
      </c>
      <c r="E23">
        <f t="shared" si="0"/>
        <v>-238.00601254413087</v>
      </c>
      <c r="F23">
        <f t="shared" si="1"/>
        <v>-238</v>
      </c>
      <c r="G23">
        <f>+C23-(C$7+F23*C$8)</f>
        <v>-2.1894000019528903E-3</v>
      </c>
      <c r="J23">
        <f>+G23</f>
        <v>-2.1894000019528903E-3</v>
      </c>
      <c r="O23">
        <f t="shared" ca="1" si="2"/>
        <v>-2.0891740062677299E-3</v>
      </c>
      <c r="Q23" s="2">
        <f t="shared" si="3"/>
        <v>37394.995799999997</v>
      </c>
      <c r="R23" s="2"/>
      <c r="S23" s="2"/>
      <c r="T23" s="2"/>
      <c r="U23" s="47"/>
    </row>
    <row r="24" spans="1:22">
      <c r="A24" s="33" t="s">
        <v>39</v>
      </c>
      <c r="B24" s="32" t="s">
        <v>37</v>
      </c>
      <c r="C24" s="33">
        <v>52500.163</v>
      </c>
      <c r="D24" s="42"/>
      <c r="E24">
        <f t="shared" si="0"/>
        <v>0</v>
      </c>
      <c r="F24">
        <f t="shared" si="1"/>
        <v>0</v>
      </c>
      <c r="I24">
        <f>+U24</f>
        <v>0</v>
      </c>
      <c r="O24">
        <f t="shared" ca="1" si="2"/>
        <v>-1.9657314541413999E-3</v>
      </c>
      <c r="Q24" s="2">
        <f t="shared" si="3"/>
        <v>37481.663</v>
      </c>
      <c r="R24" s="2"/>
      <c r="S24" s="2"/>
      <c r="T24" s="2"/>
      <c r="U24" s="47">
        <f>+C24-(C$7+F24*C$8)</f>
        <v>0</v>
      </c>
    </row>
    <row r="25" spans="1:22">
      <c r="A25" s="40" t="s">
        <v>43</v>
      </c>
      <c r="B25" s="41" t="s">
        <v>37</v>
      </c>
      <c r="C25" s="40">
        <v>52705.535900000003</v>
      </c>
      <c r="D25" s="40">
        <v>2.9999999999999997E-4</v>
      </c>
      <c r="E25">
        <f t="shared" si="0"/>
        <v>563.99635633345792</v>
      </c>
      <c r="F25">
        <f t="shared" si="1"/>
        <v>564</v>
      </c>
      <c r="G25">
        <f t="shared" ref="G25:G32" si="4">+C25-(C$7+F25*C$8)</f>
        <v>-1.3267999966046773E-3</v>
      </c>
      <c r="J25">
        <f>+G25</f>
        <v>-1.3267999966046773E-3</v>
      </c>
      <c r="O25">
        <f t="shared" ca="1" si="2"/>
        <v>-1.6732037255731223E-3</v>
      </c>
      <c r="Q25" s="2">
        <f t="shared" si="3"/>
        <v>37687.035900000003</v>
      </c>
      <c r="R25" s="2"/>
      <c r="S25" s="2"/>
      <c r="T25" s="2"/>
      <c r="U25" s="47"/>
    </row>
    <row r="26" spans="1:22">
      <c r="A26" s="40" t="s">
        <v>43</v>
      </c>
      <c r="B26" s="41" t="s">
        <v>37</v>
      </c>
      <c r="C26" s="40">
        <v>52727.383699999998</v>
      </c>
      <c r="D26" s="40">
        <v>4.0000000000000002E-4</v>
      </c>
      <c r="E26">
        <f t="shared" si="0"/>
        <v>623.9949228137466</v>
      </c>
      <c r="F26">
        <f t="shared" si="1"/>
        <v>624</v>
      </c>
      <c r="G26">
        <f t="shared" si="4"/>
        <v>-1.8487999986973591E-3</v>
      </c>
      <c r="J26">
        <f>+G26</f>
        <v>-1.8487999986973591E-3</v>
      </c>
      <c r="O26">
        <f t="shared" ca="1" si="2"/>
        <v>-1.6420837544488375E-3</v>
      </c>
      <c r="Q26" s="2">
        <f t="shared" si="3"/>
        <v>37708.883699999998</v>
      </c>
      <c r="R26" s="2"/>
      <c r="S26" s="2"/>
      <c r="T26" s="2"/>
      <c r="U26" s="47"/>
    </row>
    <row r="27" spans="1:22">
      <c r="A27" s="43" t="s">
        <v>46</v>
      </c>
      <c r="B27" s="32" t="s">
        <v>37</v>
      </c>
      <c r="C27" s="33">
        <v>54093.634319999997</v>
      </c>
      <c r="D27" s="33">
        <v>4.0000000000000002E-4</v>
      </c>
      <c r="E27">
        <f t="shared" si="0"/>
        <v>4376.0010128008835</v>
      </c>
      <c r="F27">
        <f t="shared" si="1"/>
        <v>4376</v>
      </c>
      <c r="G27">
        <f t="shared" si="4"/>
        <v>3.687999997055158E-4</v>
      </c>
      <c r="K27">
        <f t="shared" ref="K27:K32" si="5">+G27</f>
        <v>3.687999997055158E-4</v>
      </c>
      <c r="O27">
        <f t="shared" ca="1" si="2"/>
        <v>3.0395177318977501E-4</v>
      </c>
      <c r="Q27" s="2">
        <f t="shared" si="3"/>
        <v>39075.134319999997</v>
      </c>
      <c r="R27" s="2"/>
      <c r="S27" s="2"/>
      <c r="T27" s="2"/>
      <c r="U27" s="47"/>
    </row>
    <row r="28" spans="1:22">
      <c r="A28" s="43" t="s">
        <v>46</v>
      </c>
      <c r="B28" s="32" t="s">
        <v>37</v>
      </c>
      <c r="C28" s="33">
        <v>54096.547930000001</v>
      </c>
      <c r="D28" s="33">
        <v>6.9999999999999999E-4</v>
      </c>
      <c r="E28">
        <f t="shared" si="0"/>
        <v>4384.0023870025361</v>
      </c>
      <c r="F28">
        <f t="shared" si="1"/>
        <v>4384</v>
      </c>
      <c r="G28">
        <f t="shared" si="4"/>
        <v>8.6919999739620835E-4</v>
      </c>
      <c r="K28">
        <f t="shared" si="5"/>
        <v>8.6919999739620835E-4</v>
      </c>
      <c r="O28">
        <f t="shared" ca="1" si="2"/>
        <v>3.0810110267301275E-4</v>
      </c>
      <c r="Q28" s="2">
        <f t="shared" si="3"/>
        <v>39078.047930000001</v>
      </c>
      <c r="R28" s="2"/>
      <c r="S28" s="2"/>
      <c r="T28" s="2"/>
      <c r="U28" s="47"/>
    </row>
    <row r="29" spans="1:22">
      <c r="A29" s="43" t="s">
        <v>46</v>
      </c>
      <c r="B29" s="32" t="s">
        <v>37</v>
      </c>
      <c r="C29" s="33">
        <v>54170.467510000002</v>
      </c>
      <c r="D29" s="33">
        <v>2.0000000000000001E-4</v>
      </c>
      <c r="E29">
        <f t="shared" si="0"/>
        <v>4587.0008049130784</v>
      </c>
      <c r="F29">
        <f t="shared" si="1"/>
        <v>4587</v>
      </c>
      <c r="G29">
        <f t="shared" si="4"/>
        <v>2.9310000536497682E-4</v>
      </c>
      <c r="K29">
        <f t="shared" si="5"/>
        <v>2.9310000536497682E-4</v>
      </c>
      <c r="O29">
        <f t="shared" ca="1" si="2"/>
        <v>4.1339033831017677E-4</v>
      </c>
      <c r="Q29" s="2">
        <f t="shared" si="3"/>
        <v>39151.967510000002</v>
      </c>
      <c r="R29" s="2"/>
      <c r="S29" s="2"/>
      <c r="T29" s="2"/>
      <c r="U29" s="47"/>
    </row>
    <row r="30" spans="1:22">
      <c r="A30" s="40" t="s">
        <v>50</v>
      </c>
      <c r="B30" s="41" t="s">
        <v>37</v>
      </c>
      <c r="C30" s="40">
        <v>54193.40825</v>
      </c>
      <c r="D30" s="40">
        <v>4.0000000000000003E-5</v>
      </c>
      <c r="E30">
        <f t="shared" si="0"/>
        <v>4650.0008101308649</v>
      </c>
      <c r="F30">
        <f t="shared" si="1"/>
        <v>4650</v>
      </c>
      <c r="G30">
        <f t="shared" si="4"/>
        <v>2.9499999800464138E-4</v>
      </c>
      <c r="K30">
        <f t="shared" si="5"/>
        <v>2.9499999800464138E-4</v>
      </c>
      <c r="O30">
        <f t="shared" ca="1" si="2"/>
        <v>4.4606630799067567E-4</v>
      </c>
      <c r="Q30" s="2">
        <f t="shared" si="3"/>
        <v>39174.90825</v>
      </c>
      <c r="R30" s="2"/>
      <c r="S30" s="2"/>
      <c r="T30" s="2"/>
      <c r="U30" s="47"/>
    </row>
    <row r="31" spans="1:22">
      <c r="A31" s="43" t="s">
        <v>46</v>
      </c>
      <c r="B31" s="32" t="s">
        <v>37</v>
      </c>
      <c r="C31" s="33">
        <v>54240.382030000001</v>
      </c>
      <c r="D31" s="33">
        <v>2.9999999999999997E-4</v>
      </c>
      <c r="E31">
        <f t="shared" si="0"/>
        <v>4779.0005017318954</v>
      </c>
      <c r="F31">
        <f t="shared" si="1"/>
        <v>4779</v>
      </c>
      <c r="G31">
        <f t="shared" si="4"/>
        <v>1.827000014600344E-4</v>
      </c>
      <c r="K31">
        <f t="shared" si="5"/>
        <v>1.827000014600344E-4</v>
      </c>
      <c r="O31">
        <f t="shared" ca="1" si="2"/>
        <v>5.1297424590788804E-4</v>
      </c>
      <c r="Q31" s="2">
        <f t="shared" si="3"/>
        <v>39221.882030000001</v>
      </c>
      <c r="R31" s="2"/>
      <c r="S31" s="2"/>
      <c r="T31" s="2"/>
      <c r="U31" s="47"/>
    </row>
    <row r="32" spans="1:22">
      <c r="A32" s="44" t="s">
        <v>47</v>
      </c>
      <c r="B32" s="43"/>
      <c r="C32" s="33">
        <v>54937.708769999997</v>
      </c>
      <c r="D32" s="33">
        <v>1E-3</v>
      </c>
      <c r="E32">
        <f t="shared" si="0"/>
        <v>6694.0036035719277</v>
      </c>
      <c r="F32">
        <f t="shared" si="1"/>
        <v>6694</v>
      </c>
      <c r="G32">
        <f t="shared" si="4"/>
        <v>1.3121999945724383E-3</v>
      </c>
      <c r="K32">
        <f t="shared" si="5"/>
        <v>1.3121999945724383E-3</v>
      </c>
      <c r="O32">
        <f t="shared" ca="1" si="2"/>
        <v>1.5062199909579794E-3</v>
      </c>
      <c r="Q32" s="2">
        <f t="shared" si="3"/>
        <v>39919.208769999997</v>
      </c>
      <c r="R32" s="2"/>
      <c r="S32" s="2"/>
      <c r="T32" s="2"/>
      <c r="U32" s="47"/>
    </row>
    <row r="33" spans="1:21">
      <c r="A33" s="33" t="s">
        <v>51</v>
      </c>
      <c r="B33" s="32" t="s">
        <v>37</v>
      </c>
      <c r="C33" s="33">
        <v>55643.748699999996</v>
      </c>
      <c r="D33" s="33">
        <v>5.0000000000000001E-3</v>
      </c>
      <c r="E33">
        <f t="shared" si="0"/>
        <v>8632.9349228741576</v>
      </c>
      <c r="F33">
        <f t="shared" si="1"/>
        <v>8633</v>
      </c>
      <c r="O33">
        <f t="shared" ca="1" si="2"/>
        <v>2.5119137244577847E-3</v>
      </c>
      <c r="Q33" s="2">
        <f t="shared" si="3"/>
        <v>40625.248699999996</v>
      </c>
      <c r="R33" s="2"/>
      <c r="S33" s="2"/>
      <c r="T33" s="2"/>
      <c r="U33" s="46">
        <f>+C33-(C$7+F33*C$8)</f>
        <v>-2.3697100004937965E-2</v>
      </c>
    </row>
    <row r="34" spans="1:21">
      <c r="A34" s="62" t="s">
        <v>54</v>
      </c>
      <c r="B34" s="63"/>
      <c r="C34" s="62">
        <v>56482.387759999998</v>
      </c>
      <c r="D34" s="62" t="s">
        <v>55</v>
      </c>
      <c r="E34">
        <f t="shared" si="0"/>
        <v>10936.010811265041</v>
      </c>
      <c r="F34">
        <f t="shared" si="1"/>
        <v>10936</v>
      </c>
      <c r="G34">
        <f>+C34-(C$7+F34*C$8)</f>
        <v>3.9367999997921288E-3</v>
      </c>
      <c r="K34">
        <f>+G34</f>
        <v>3.9367999997921288E-3</v>
      </c>
      <c r="O34">
        <f t="shared" ca="1" si="2"/>
        <v>3.7064019494449183E-3</v>
      </c>
      <c r="Q34" s="2">
        <f t="shared" si="3"/>
        <v>41463.887759999998</v>
      </c>
      <c r="R34" s="2"/>
      <c r="S34" s="2"/>
      <c r="T34" s="2"/>
      <c r="U34" s="47"/>
    </row>
    <row r="35" spans="1:21">
      <c r="A35" s="64" t="s">
        <v>53</v>
      </c>
      <c r="B35" s="63" t="s">
        <v>37</v>
      </c>
      <c r="C35" s="62">
        <v>56490.398589999997</v>
      </c>
      <c r="D35" s="62">
        <v>2.0000000000000001E-4</v>
      </c>
      <c r="E35">
        <f t="shared" si="0"/>
        <v>10958.01020325496</v>
      </c>
      <c r="F35">
        <f t="shared" si="1"/>
        <v>10958</v>
      </c>
      <c r="G35">
        <f>+C35-(C$7+F35*C$8)</f>
        <v>3.7153999946895055E-3</v>
      </c>
      <c r="K35">
        <f>+G35</f>
        <v>3.7153999946895055E-3</v>
      </c>
      <c r="O35">
        <f t="shared" ca="1" si="2"/>
        <v>3.7178126055238229E-3</v>
      </c>
      <c r="Q35" s="2">
        <f t="shared" si="3"/>
        <v>41471.898589999997</v>
      </c>
      <c r="R35" s="2"/>
      <c r="S35" s="2"/>
      <c r="T35" s="2"/>
      <c r="U35" s="47"/>
    </row>
    <row r="36" spans="1:21">
      <c r="A36" s="62" t="s">
        <v>56</v>
      </c>
      <c r="B36" s="63" t="s">
        <v>37</v>
      </c>
      <c r="C36" s="65">
        <v>56746.383979999999</v>
      </c>
      <c r="D36" s="62">
        <v>5.9999999999999995E-4</v>
      </c>
      <c r="E36">
        <f t="shared" si="0"/>
        <v>11660.998899595123</v>
      </c>
      <c r="F36">
        <f t="shared" si="1"/>
        <v>11661</v>
      </c>
      <c r="O36">
        <f t="shared" ca="1" si="2"/>
        <v>4.0824349338633601E-3</v>
      </c>
      <c r="Q36" s="2">
        <f t="shared" si="3"/>
        <v>41727.883979999999</v>
      </c>
      <c r="R36" s="2"/>
      <c r="S36" s="2"/>
      <c r="T36" s="2"/>
      <c r="U36" s="48">
        <f>+C36-(C$7+F36*C$8)</f>
        <v>-4.0070000250125304E-4</v>
      </c>
    </row>
    <row r="37" spans="1:21">
      <c r="A37" s="66" t="s">
        <v>126</v>
      </c>
      <c r="B37" s="67" t="s">
        <v>37</v>
      </c>
      <c r="C37" s="68">
        <v>57110.163399999961</v>
      </c>
      <c r="D37" s="68" t="s">
        <v>65</v>
      </c>
      <c r="E37">
        <f>+(C37-C$7)/C$8</f>
        <v>12660.012242587676</v>
      </c>
      <c r="F37">
        <f t="shared" si="1"/>
        <v>12660</v>
      </c>
      <c r="G37">
        <f>+C37-(C$7+F37*C$8)</f>
        <v>4.4579999594134279E-3</v>
      </c>
      <c r="K37">
        <f>G37</f>
        <v>4.4579999594134279E-3</v>
      </c>
      <c r="O37">
        <f ca="1">+C$11+C$12*$F37</f>
        <v>4.6005824530827031E-3</v>
      </c>
      <c r="Q37" s="2">
        <f>+C37-15018.5</f>
        <v>42091.663399999961</v>
      </c>
    </row>
    <row r="38" spans="1:21">
      <c r="A38" s="69" t="s">
        <v>0</v>
      </c>
      <c r="B38" s="70" t="s">
        <v>37</v>
      </c>
      <c r="C38" s="69">
        <v>57449.177199999998</v>
      </c>
      <c r="D38" s="69" t="s">
        <v>65</v>
      </c>
      <c r="E38">
        <f>+(C38-C$7)/C$8</f>
        <v>13591.014083369875</v>
      </c>
      <c r="F38">
        <f t="shared" si="1"/>
        <v>13591</v>
      </c>
      <c r="G38">
        <f>+C38-(C$7+F38*C$8)</f>
        <v>5.1282999993418343E-3</v>
      </c>
      <c r="K38">
        <f>+G38</f>
        <v>5.1282999993418343E-3</v>
      </c>
      <c r="O38">
        <f ca="1">+C$11+C$12*$F38</f>
        <v>5.0834606716945226E-3</v>
      </c>
      <c r="Q38" s="2">
        <f>+C38-15018.5</f>
        <v>42430.677199999998</v>
      </c>
    </row>
    <row r="39" spans="1:21">
      <c r="B39" s="3"/>
      <c r="C39" s="10"/>
      <c r="D39" s="10"/>
    </row>
    <row r="40" spans="1:21">
      <c r="B40" s="3"/>
      <c r="C40" s="10"/>
      <c r="D40" s="10"/>
    </row>
    <row r="41" spans="1:21">
      <c r="B41" s="3"/>
      <c r="C41" s="10"/>
      <c r="D41" s="10"/>
    </row>
    <row r="42" spans="1:21">
      <c r="B42" s="3"/>
      <c r="C42" s="10"/>
      <c r="D42" s="10"/>
    </row>
    <row r="43" spans="1:21">
      <c r="B43" s="3"/>
      <c r="C43" s="10"/>
      <c r="D43" s="10"/>
    </row>
    <row r="44" spans="1:21">
      <c r="B44" s="3"/>
      <c r="C44" s="10"/>
      <c r="D44" s="10"/>
    </row>
    <row r="45" spans="1:21">
      <c r="B45" s="3"/>
      <c r="C45" s="10"/>
      <c r="D45" s="10"/>
    </row>
    <row r="46" spans="1:21">
      <c r="B46" s="3"/>
      <c r="C46" s="10"/>
      <c r="D46" s="10"/>
    </row>
    <row r="47" spans="1:21">
      <c r="B47" s="3"/>
      <c r="C47" s="10"/>
      <c r="D47" s="10"/>
    </row>
    <row r="48" spans="1:21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</sheetData>
  <phoneticPr fontId="8" type="noConversion"/>
  <hyperlinks>
    <hyperlink ref="H1225" r:id="rId1" display="http://vsolj.cetus-net.org/bulletin.html"/>
    <hyperlink ref="H64452" r:id="rId2" display="http://vsolj.cetus-net.org/bulletin.html"/>
    <hyperlink ref="H64445" r:id="rId3" display="https://www.aavso.org/ejaavso"/>
    <hyperlink ref="I64452" r:id="rId4" display="http://vsolj.cetus-net.org/bulletin.html"/>
    <hyperlink ref="AQ58103" r:id="rId5" display="http://cdsbib.u-strasbg.fr/cgi-bin/cdsbib?1990RMxAA..21..381G"/>
    <hyperlink ref="H64449" r:id="rId6" display="https://www.aavso.org/ejaavso"/>
    <hyperlink ref="AP5467" r:id="rId7" display="http://cdsbib.u-strasbg.fr/cgi-bin/cdsbib?1990RMxAA..21..381G"/>
    <hyperlink ref="AP5470" r:id="rId8" display="http://cdsbib.u-strasbg.fr/cgi-bin/cdsbib?1990RMxAA..21..381G"/>
    <hyperlink ref="AP5468" r:id="rId9" display="http://cdsbib.u-strasbg.fr/cgi-bin/cdsbib?1990RMxAA..21..381G"/>
    <hyperlink ref="AP5452" r:id="rId10" display="http://cdsbib.u-strasbg.fr/cgi-bin/cdsbib?1990RMxAA..21..381G"/>
    <hyperlink ref="AQ5681" r:id="rId11" display="http://cdsbib.u-strasbg.fr/cgi-bin/cdsbib?1990RMxAA..21..381G"/>
    <hyperlink ref="AQ5685" r:id="rId12" display="http://cdsbib.u-strasbg.fr/cgi-bin/cdsbib?1990RMxAA..21..381G"/>
    <hyperlink ref="AQ65365" r:id="rId13" display="http://cdsbib.u-strasbg.fr/cgi-bin/cdsbib?1990RMxAA..21..381G"/>
    <hyperlink ref="I2573" r:id="rId14" display="http://vsolj.cetus-net.org/bulletin.html"/>
    <hyperlink ref="H2573" r:id="rId15" display="http://vsolj.cetus-net.org/bulletin.html"/>
    <hyperlink ref="AQ490" r:id="rId16" display="http://cdsbib.u-strasbg.fr/cgi-bin/cdsbib?1990RMxAA..21..381G"/>
    <hyperlink ref="AQ489" r:id="rId17" display="http://cdsbib.u-strasbg.fr/cgi-bin/cdsbib?1990RMxAA..21..381G"/>
    <hyperlink ref="AP3743" r:id="rId18" display="http://cdsbib.u-strasbg.fr/cgi-bin/cdsbib?1990RMxAA..21..381G"/>
    <hyperlink ref="AP3761" r:id="rId19" display="http://cdsbib.u-strasbg.fr/cgi-bin/cdsbib?1990RMxAA..21..381G"/>
    <hyperlink ref="AP3762" r:id="rId20" display="http://cdsbib.u-strasbg.fr/cgi-bin/cdsbib?1990RMxAA..21..381G"/>
    <hyperlink ref="AP3758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7"/>
  <sheetViews>
    <sheetView topLeftCell="A2" workbookViewId="0">
      <selection activeCell="A11" sqref="A11:D25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9" t="s">
        <v>57</v>
      </c>
      <c r="I1" s="50" t="s">
        <v>58</v>
      </c>
      <c r="J1" s="51" t="s">
        <v>59</v>
      </c>
    </row>
    <row r="2" spans="1:16">
      <c r="I2" s="52" t="s">
        <v>42</v>
      </c>
      <c r="J2" s="53" t="s">
        <v>60</v>
      </c>
    </row>
    <row r="3" spans="1:16">
      <c r="A3" s="54" t="s">
        <v>61</v>
      </c>
      <c r="I3" s="52" t="s">
        <v>62</v>
      </c>
      <c r="J3" s="53" t="s">
        <v>63</v>
      </c>
    </row>
    <row r="4" spans="1:16">
      <c r="I4" s="52" t="s">
        <v>64</v>
      </c>
      <c r="J4" s="53" t="s">
        <v>63</v>
      </c>
    </row>
    <row r="5" spans="1:16" ht="13.5" thickBot="1">
      <c r="I5" s="55" t="s">
        <v>65</v>
      </c>
      <c r="J5" s="56" t="s">
        <v>66</v>
      </c>
    </row>
    <row r="10" spans="1:16" ht="13.5" thickBot="1"/>
    <row r="11" spans="1:16" ht="12.75" customHeight="1" thickBot="1">
      <c r="A11" s="10" t="str">
        <f t="shared" ref="A11:A25" si="0">P11</f>
        <v>IBVS 5548 </v>
      </c>
      <c r="B11" s="3" t="str">
        <f t="shared" ref="B11:B25" si="1">IF(H11=INT(H11),"I","II")</f>
        <v>I</v>
      </c>
      <c r="C11" s="10">
        <f t="shared" ref="C11:C25" si="2">1*G11</f>
        <v>52411.315600000002</v>
      </c>
      <c r="D11" s="12" t="str">
        <f t="shared" ref="D11:D25" si="3">VLOOKUP(F11,I$1:J$5,2,FALSE)</f>
        <v>vis</v>
      </c>
      <c r="E11" s="57">
        <f>VLOOKUP(C11,Active!C$21:E$953,3,FALSE)</f>
        <v>-243.99329156719335</v>
      </c>
      <c r="F11" s="3" t="s">
        <v>65</v>
      </c>
      <c r="G11" s="12" t="str">
        <f t="shared" ref="G11:G25" si="4">MID(I11,3,LEN(I11)-3)</f>
        <v>52411.3156</v>
      </c>
      <c r="H11" s="10">
        <f t="shared" ref="H11:H25" si="5">1*K11</f>
        <v>5109</v>
      </c>
      <c r="I11" s="58" t="s">
        <v>67</v>
      </c>
      <c r="J11" s="59" t="s">
        <v>68</v>
      </c>
      <c r="K11" s="58">
        <v>5109</v>
      </c>
      <c r="L11" s="58" t="s">
        <v>69</v>
      </c>
      <c r="M11" s="59" t="s">
        <v>70</v>
      </c>
      <c r="N11" s="59" t="s">
        <v>71</v>
      </c>
      <c r="O11" s="60" t="s">
        <v>72</v>
      </c>
      <c r="P11" s="61" t="s">
        <v>73</v>
      </c>
    </row>
    <row r="12" spans="1:16" ht="12.75" customHeight="1" thickBot="1">
      <c r="A12" s="10" t="str">
        <f t="shared" si="0"/>
        <v>IBVS 5548 </v>
      </c>
      <c r="B12" s="3" t="str">
        <f t="shared" si="1"/>
        <v>I</v>
      </c>
      <c r="C12" s="10">
        <f t="shared" si="2"/>
        <v>52412.407800000001</v>
      </c>
      <c r="D12" s="12" t="str">
        <f t="shared" si="3"/>
        <v>vis</v>
      </c>
      <c r="E12" s="57">
        <f>VLOOKUP(C12,Active!C$21:E$953,3,FALSE)</f>
        <v>-240.99388502238187</v>
      </c>
      <c r="F12" s="3" t="s">
        <v>65</v>
      </c>
      <c r="G12" s="12" t="str">
        <f t="shared" si="4"/>
        <v>52412.4078</v>
      </c>
      <c r="H12" s="10">
        <f t="shared" si="5"/>
        <v>5112</v>
      </c>
      <c r="I12" s="58" t="s">
        <v>74</v>
      </c>
      <c r="J12" s="59" t="s">
        <v>75</v>
      </c>
      <c r="K12" s="58">
        <v>5112</v>
      </c>
      <c r="L12" s="58" t="s">
        <v>76</v>
      </c>
      <c r="M12" s="59" t="s">
        <v>70</v>
      </c>
      <c r="N12" s="59" t="s">
        <v>71</v>
      </c>
      <c r="O12" s="60" t="s">
        <v>72</v>
      </c>
      <c r="P12" s="61" t="s">
        <v>73</v>
      </c>
    </row>
    <row r="13" spans="1:16" ht="12.75" customHeight="1" thickBot="1">
      <c r="A13" s="10" t="str">
        <f t="shared" si="0"/>
        <v>IBVS 5548 </v>
      </c>
      <c r="B13" s="3" t="str">
        <f t="shared" si="1"/>
        <v>I</v>
      </c>
      <c r="C13" s="10">
        <f t="shared" si="2"/>
        <v>52413.495799999997</v>
      </c>
      <c r="D13" s="12" t="str">
        <f t="shared" si="3"/>
        <v>vis</v>
      </c>
      <c r="E13" s="57">
        <f>VLOOKUP(C13,Active!C$21:E$953,3,FALSE)</f>
        <v>-238.00601254413087</v>
      </c>
      <c r="F13" s="3" t="s">
        <v>65</v>
      </c>
      <c r="G13" s="12" t="str">
        <f t="shared" si="4"/>
        <v>52413.4958</v>
      </c>
      <c r="H13" s="10">
        <f t="shared" si="5"/>
        <v>5115</v>
      </c>
      <c r="I13" s="58" t="s">
        <v>77</v>
      </c>
      <c r="J13" s="59" t="s">
        <v>78</v>
      </c>
      <c r="K13" s="58">
        <v>5115</v>
      </c>
      <c r="L13" s="58" t="s">
        <v>79</v>
      </c>
      <c r="M13" s="59" t="s">
        <v>70</v>
      </c>
      <c r="N13" s="59" t="s">
        <v>71</v>
      </c>
      <c r="O13" s="60" t="s">
        <v>72</v>
      </c>
      <c r="P13" s="61" t="s">
        <v>73</v>
      </c>
    </row>
    <row r="14" spans="1:16" ht="12.75" customHeight="1" thickBot="1">
      <c r="A14" s="10" t="str">
        <f t="shared" si="0"/>
        <v>IBVS 5548 </v>
      </c>
      <c r="B14" s="3" t="str">
        <f t="shared" si="1"/>
        <v>I</v>
      </c>
      <c r="C14" s="10">
        <f t="shared" si="2"/>
        <v>52705.535900000003</v>
      </c>
      <c r="D14" s="12" t="str">
        <f t="shared" si="3"/>
        <v>vis</v>
      </c>
      <c r="E14" s="57">
        <f>VLOOKUP(C14,Active!C$21:E$953,3,FALSE)</f>
        <v>563.99635633345792</v>
      </c>
      <c r="F14" s="3" t="s">
        <v>65</v>
      </c>
      <c r="G14" s="12" t="str">
        <f t="shared" si="4"/>
        <v>52705.5359</v>
      </c>
      <c r="H14" s="10">
        <f t="shared" si="5"/>
        <v>5917</v>
      </c>
      <c r="I14" s="58" t="s">
        <v>80</v>
      </c>
      <c r="J14" s="59" t="s">
        <v>81</v>
      </c>
      <c r="K14" s="58">
        <v>5917</v>
      </c>
      <c r="L14" s="58" t="s">
        <v>82</v>
      </c>
      <c r="M14" s="59" t="s">
        <v>70</v>
      </c>
      <c r="N14" s="59" t="s">
        <v>71</v>
      </c>
      <c r="O14" s="60" t="s">
        <v>72</v>
      </c>
      <c r="P14" s="61" t="s">
        <v>73</v>
      </c>
    </row>
    <row r="15" spans="1:16" ht="12.75" customHeight="1" thickBot="1">
      <c r="A15" s="10" t="str">
        <f t="shared" si="0"/>
        <v>IBVS 5548 </v>
      </c>
      <c r="B15" s="3" t="str">
        <f t="shared" si="1"/>
        <v>I</v>
      </c>
      <c r="C15" s="10">
        <f t="shared" si="2"/>
        <v>52727.383699999998</v>
      </c>
      <c r="D15" s="12" t="str">
        <f t="shared" si="3"/>
        <v>vis</v>
      </c>
      <c r="E15" s="57">
        <f>VLOOKUP(C15,Active!C$21:E$953,3,FALSE)</f>
        <v>623.9949228137466</v>
      </c>
      <c r="F15" s="3" t="s">
        <v>65</v>
      </c>
      <c r="G15" s="12" t="str">
        <f t="shared" si="4"/>
        <v>52727.3837</v>
      </c>
      <c r="H15" s="10">
        <f t="shared" si="5"/>
        <v>5977</v>
      </c>
      <c r="I15" s="58" t="s">
        <v>83</v>
      </c>
      <c r="J15" s="59" t="s">
        <v>84</v>
      </c>
      <c r="K15" s="58">
        <v>5977</v>
      </c>
      <c r="L15" s="58" t="s">
        <v>85</v>
      </c>
      <c r="M15" s="59" t="s">
        <v>70</v>
      </c>
      <c r="N15" s="59" t="s">
        <v>71</v>
      </c>
      <c r="O15" s="60" t="s">
        <v>72</v>
      </c>
      <c r="P15" s="61" t="s">
        <v>73</v>
      </c>
    </row>
    <row r="16" spans="1:16" ht="12.75" customHeight="1" thickBot="1">
      <c r="A16" s="10" t="str">
        <f t="shared" si="0"/>
        <v>OEJV 0074 </v>
      </c>
      <c r="B16" s="3" t="str">
        <f t="shared" si="1"/>
        <v>I</v>
      </c>
      <c r="C16" s="10">
        <f t="shared" si="2"/>
        <v>54093.634319999997</v>
      </c>
      <c r="D16" s="12" t="str">
        <f t="shared" si="3"/>
        <v>vis</v>
      </c>
      <c r="E16" s="57">
        <f>VLOOKUP(C16,Active!C$21:E$953,3,FALSE)</f>
        <v>4376.0010128008835</v>
      </c>
      <c r="F16" s="3" t="s">
        <v>65</v>
      </c>
      <c r="G16" s="12" t="str">
        <f t="shared" si="4"/>
        <v>54093.63432</v>
      </c>
      <c r="H16" s="10">
        <f t="shared" si="5"/>
        <v>9729</v>
      </c>
      <c r="I16" s="58" t="s">
        <v>86</v>
      </c>
      <c r="J16" s="59" t="s">
        <v>87</v>
      </c>
      <c r="K16" s="58">
        <v>9729</v>
      </c>
      <c r="L16" s="58" t="s">
        <v>88</v>
      </c>
      <c r="M16" s="59" t="s">
        <v>89</v>
      </c>
      <c r="N16" s="59" t="s">
        <v>90</v>
      </c>
      <c r="O16" s="60" t="s">
        <v>91</v>
      </c>
      <c r="P16" s="61" t="s">
        <v>92</v>
      </c>
    </row>
    <row r="17" spans="1:16" ht="12.75" customHeight="1" thickBot="1">
      <c r="A17" s="10" t="str">
        <f t="shared" si="0"/>
        <v>OEJV 0074 </v>
      </c>
      <c r="B17" s="3" t="str">
        <f t="shared" si="1"/>
        <v>I</v>
      </c>
      <c r="C17" s="10">
        <f t="shared" si="2"/>
        <v>54096.547930000001</v>
      </c>
      <c r="D17" s="12" t="str">
        <f t="shared" si="3"/>
        <v>vis</v>
      </c>
      <c r="E17" s="57">
        <f>VLOOKUP(C17,Active!C$21:E$953,3,FALSE)</f>
        <v>4384.0023870025361</v>
      </c>
      <c r="F17" s="3" t="s">
        <v>65</v>
      </c>
      <c r="G17" s="12" t="str">
        <f t="shared" si="4"/>
        <v>54096.54793</v>
      </c>
      <c r="H17" s="10">
        <f t="shared" si="5"/>
        <v>9737</v>
      </c>
      <c r="I17" s="58" t="s">
        <v>93</v>
      </c>
      <c r="J17" s="59" t="s">
        <v>94</v>
      </c>
      <c r="K17" s="58">
        <v>9737</v>
      </c>
      <c r="L17" s="58" t="s">
        <v>95</v>
      </c>
      <c r="M17" s="59" t="s">
        <v>89</v>
      </c>
      <c r="N17" s="59" t="s">
        <v>90</v>
      </c>
      <c r="O17" s="60" t="s">
        <v>91</v>
      </c>
      <c r="P17" s="61" t="s">
        <v>92</v>
      </c>
    </row>
    <row r="18" spans="1:16" ht="12.75" customHeight="1" thickBot="1">
      <c r="A18" s="10" t="str">
        <f t="shared" si="0"/>
        <v>OEJV 0074 </v>
      </c>
      <c r="B18" s="3" t="str">
        <f t="shared" si="1"/>
        <v>I</v>
      </c>
      <c r="C18" s="10">
        <f t="shared" si="2"/>
        <v>54170.467510000002</v>
      </c>
      <c r="D18" s="12" t="str">
        <f t="shared" si="3"/>
        <v>vis</v>
      </c>
      <c r="E18" s="57">
        <f>VLOOKUP(C18,Active!C$21:E$953,3,FALSE)</f>
        <v>4587.0008049130784</v>
      </c>
      <c r="F18" s="3" t="s">
        <v>65</v>
      </c>
      <c r="G18" s="12" t="str">
        <f t="shared" si="4"/>
        <v>54170.46751</v>
      </c>
      <c r="H18" s="10">
        <f t="shared" si="5"/>
        <v>9940</v>
      </c>
      <c r="I18" s="58" t="s">
        <v>96</v>
      </c>
      <c r="J18" s="59" t="s">
        <v>97</v>
      </c>
      <c r="K18" s="58">
        <v>9940</v>
      </c>
      <c r="L18" s="58" t="s">
        <v>98</v>
      </c>
      <c r="M18" s="59" t="s">
        <v>89</v>
      </c>
      <c r="N18" s="59" t="s">
        <v>90</v>
      </c>
      <c r="O18" s="60" t="s">
        <v>91</v>
      </c>
      <c r="P18" s="61" t="s">
        <v>92</v>
      </c>
    </row>
    <row r="19" spans="1:16" ht="12.75" customHeight="1" thickBot="1">
      <c r="A19" s="10" t="str">
        <f t="shared" si="0"/>
        <v>IBVS 6007 </v>
      </c>
      <c r="B19" s="3" t="str">
        <f t="shared" si="1"/>
        <v>I</v>
      </c>
      <c r="C19" s="10">
        <f t="shared" si="2"/>
        <v>54193.40825</v>
      </c>
      <c r="D19" s="12" t="str">
        <f t="shared" si="3"/>
        <v>vis</v>
      </c>
      <c r="E19" s="57">
        <f>VLOOKUP(C19,Active!C$21:E$953,3,FALSE)</f>
        <v>4650.0008101308649</v>
      </c>
      <c r="F19" s="3" t="s">
        <v>65</v>
      </c>
      <c r="G19" s="12" t="str">
        <f t="shared" si="4"/>
        <v>54193.40825</v>
      </c>
      <c r="H19" s="10">
        <f t="shared" si="5"/>
        <v>10003</v>
      </c>
      <c r="I19" s="58" t="s">
        <v>99</v>
      </c>
      <c r="J19" s="59" t="s">
        <v>100</v>
      </c>
      <c r="K19" s="58">
        <v>10003</v>
      </c>
      <c r="L19" s="58" t="s">
        <v>101</v>
      </c>
      <c r="M19" s="59" t="s">
        <v>89</v>
      </c>
      <c r="N19" s="59" t="s">
        <v>90</v>
      </c>
      <c r="O19" s="60" t="s">
        <v>102</v>
      </c>
      <c r="P19" s="61" t="s">
        <v>103</v>
      </c>
    </row>
    <row r="20" spans="1:16" ht="12.75" customHeight="1" thickBot="1">
      <c r="A20" s="10" t="str">
        <f t="shared" si="0"/>
        <v>OEJV 0074 </v>
      </c>
      <c r="B20" s="3" t="str">
        <f t="shared" si="1"/>
        <v>I</v>
      </c>
      <c r="C20" s="10">
        <f t="shared" si="2"/>
        <v>54240.382030000001</v>
      </c>
      <c r="D20" s="12" t="str">
        <f t="shared" si="3"/>
        <v>vis</v>
      </c>
      <c r="E20" s="57">
        <f>VLOOKUP(C20,Active!C$21:E$953,3,FALSE)</f>
        <v>4779.0005017318954</v>
      </c>
      <c r="F20" s="3" t="s">
        <v>65</v>
      </c>
      <c r="G20" s="12" t="str">
        <f t="shared" si="4"/>
        <v>54240.38203</v>
      </c>
      <c r="H20" s="10">
        <f t="shared" si="5"/>
        <v>10132</v>
      </c>
      <c r="I20" s="58" t="s">
        <v>104</v>
      </c>
      <c r="J20" s="59" t="s">
        <v>105</v>
      </c>
      <c r="K20" s="58">
        <v>10132</v>
      </c>
      <c r="L20" s="58" t="s">
        <v>106</v>
      </c>
      <c r="M20" s="59" t="s">
        <v>89</v>
      </c>
      <c r="N20" s="59" t="s">
        <v>90</v>
      </c>
      <c r="O20" s="60" t="s">
        <v>91</v>
      </c>
      <c r="P20" s="61" t="s">
        <v>92</v>
      </c>
    </row>
    <row r="21" spans="1:16" ht="12.75" customHeight="1" thickBot="1">
      <c r="A21" s="10" t="str">
        <f t="shared" si="0"/>
        <v>IBVS 5929 </v>
      </c>
      <c r="B21" s="3" t="str">
        <f t="shared" si="1"/>
        <v>I</v>
      </c>
      <c r="C21" s="10">
        <f t="shared" si="2"/>
        <v>54937.709000000003</v>
      </c>
      <c r="D21" s="12" t="str">
        <f t="shared" si="3"/>
        <v>vis</v>
      </c>
      <c r="E21" s="57" t="e">
        <f>VLOOKUP(C21,Active!C$21:E$953,3,FALSE)</f>
        <v>#N/A</v>
      </c>
      <c r="F21" s="3" t="s">
        <v>65</v>
      </c>
      <c r="G21" s="12" t="str">
        <f t="shared" si="4"/>
        <v>54937.709</v>
      </c>
      <c r="H21" s="10">
        <f t="shared" si="5"/>
        <v>12047</v>
      </c>
      <c r="I21" s="58" t="s">
        <v>107</v>
      </c>
      <c r="J21" s="59" t="s">
        <v>108</v>
      </c>
      <c r="K21" s="58">
        <v>12047</v>
      </c>
      <c r="L21" s="58" t="s">
        <v>109</v>
      </c>
      <c r="M21" s="59" t="s">
        <v>89</v>
      </c>
      <c r="N21" s="59" t="s">
        <v>90</v>
      </c>
      <c r="O21" s="60" t="s">
        <v>110</v>
      </c>
      <c r="P21" s="61" t="s">
        <v>111</v>
      </c>
    </row>
    <row r="22" spans="1:16" ht="12.75" customHeight="1" thickBot="1">
      <c r="A22" s="10" t="str">
        <f t="shared" si="0"/>
        <v>IBVS 6018 </v>
      </c>
      <c r="B22" s="3" t="str">
        <f t="shared" si="1"/>
        <v>I</v>
      </c>
      <c r="C22" s="10">
        <f t="shared" si="2"/>
        <v>55643.748699999996</v>
      </c>
      <c r="D22" s="12" t="str">
        <f t="shared" si="3"/>
        <v>vis</v>
      </c>
      <c r="E22" s="57">
        <f>VLOOKUP(C22,Active!C$21:E$953,3,FALSE)</f>
        <v>8632.9349228741576</v>
      </c>
      <c r="F22" s="3" t="s">
        <v>65</v>
      </c>
      <c r="G22" s="12" t="str">
        <f t="shared" si="4"/>
        <v>55643.7487</v>
      </c>
      <c r="H22" s="10">
        <f t="shared" si="5"/>
        <v>13986</v>
      </c>
      <c r="I22" s="58" t="s">
        <v>112</v>
      </c>
      <c r="J22" s="59" t="s">
        <v>113</v>
      </c>
      <c r="K22" s="58">
        <v>13986</v>
      </c>
      <c r="L22" s="58" t="s">
        <v>114</v>
      </c>
      <c r="M22" s="59" t="s">
        <v>89</v>
      </c>
      <c r="N22" s="59" t="s">
        <v>58</v>
      </c>
      <c r="O22" s="60" t="s">
        <v>110</v>
      </c>
      <c r="P22" s="61" t="s">
        <v>115</v>
      </c>
    </row>
    <row r="23" spans="1:16" ht="12.75" customHeight="1" thickBot="1">
      <c r="A23" s="10" t="str">
        <f t="shared" si="0"/>
        <v>OEJV 0160 </v>
      </c>
      <c r="B23" s="3" t="str">
        <f t="shared" si="1"/>
        <v>I</v>
      </c>
      <c r="C23" s="10">
        <f t="shared" si="2"/>
        <v>56482.387649999997</v>
      </c>
      <c r="D23" s="12" t="str">
        <f t="shared" si="3"/>
        <v>vis</v>
      </c>
      <c r="E23" s="57" t="e">
        <f>VLOOKUP(C23,Active!C$21:E$953,3,FALSE)</f>
        <v>#N/A</v>
      </c>
      <c r="F23" s="3" t="s">
        <v>65</v>
      </c>
      <c r="G23" s="12" t="str">
        <f t="shared" si="4"/>
        <v>56482.38765</v>
      </c>
      <c r="H23" s="10">
        <f t="shared" si="5"/>
        <v>16289</v>
      </c>
      <c r="I23" s="58" t="s">
        <v>116</v>
      </c>
      <c r="J23" s="59" t="s">
        <v>117</v>
      </c>
      <c r="K23" s="58">
        <v>16289</v>
      </c>
      <c r="L23" s="58" t="s">
        <v>118</v>
      </c>
      <c r="M23" s="59" t="s">
        <v>89</v>
      </c>
      <c r="N23" s="59" t="s">
        <v>90</v>
      </c>
      <c r="O23" s="60" t="s">
        <v>119</v>
      </c>
      <c r="P23" s="61" t="s">
        <v>120</v>
      </c>
    </row>
    <row r="24" spans="1:16" ht="12.75" customHeight="1" thickBot="1">
      <c r="A24" s="10" t="str">
        <f t="shared" si="0"/>
        <v>OEJV 0160 </v>
      </c>
      <c r="B24" s="3" t="str">
        <f t="shared" si="1"/>
        <v>I</v>
      </c>
      <c r="C24" s="10">
        <f t="shared" si="2"/>
        <v>56482.387690000003</v>
      </c>
      <c r="D24" s="12" t="str">
        <f t="shared" si="3"/>
        <v>vis</v>
      </c>
      <c r="E24" s="57" t="e">
        <f>VLOOKUP(C24,Active!C$21:E$953,3,FALSE)</f>
        <v>#N/A</v>
      </c>
      <c r="F24" s="3" t="s">
        <v>65</v>
      </c>
      <c r="G24" s="12" t="str">
        <f t="shared" si="4"/>
        <v>56482.38769</v>
      </c>
      <c r="H24" s="10">
        <f t="shared" si="5"/>
        <v>16289</v>
      </c>
      <c r="I24" s="58" t="s">
        <v>121</v>
      </c>
      <c r="J24" s="59" t="s">
        <v>117</v>
      </c>
      <c r="K24" s="58">
        <v>16289</v>
      </c>
      <c r="L24" s="58" t="s">
        <v>122</v>
      </c>
      <c r="M24" s="59" t="s">
        <v>89</v>
      </c>
      <c r="N24" s="59" t="s">
        <v>65</v>
      </c>
      <c r="O24" s="60" t="s">
        <v>119</v>
      </c>
      <c r="P24" s="61" t="s">
        <v>120</v>
      </c>
    </row>
    <row r="25" spans="1:16" ht="12.75" customHeight="1" thickBot="1">
      <c r="A25" s="10" t="str">
        <f t="shared" si="0"/>
        <v>OEJV 0160 </v>
      </c>
      <c r="B25" s="3" t="str">
        <f t="shared" si="1"/>
        <v>I</v>
      </c>
      <c r="C25" s="10">
        <f t="shared" si="2"/>
        <v>56490.398589999997</v>
      </c>
      <c r="D25" s="12" t="str">
        <f t="shared" si="3"/>
        <v>vis</v>
      </c>
      <c r="E25" s="57">
        <f>VLOOKUP(C25,Active!C$21:E$953,3,FALSE)</f>
        <v>10958.01020325496</v>
      </c>
      <c r="F25" s="3" t="s">
        <v>65</v>
      </c>
      <c r="G25" s="12" t="str">
        <f t="shared" si="4"/>
        <v>56490.39859</v>
      </c>
      <c r="H25" s="10">
        <f t="shared" si="5"/>
        <v>16311</v>
      </c>
      <c r="I25" s="58" t="s">
        <v>123</v>
      </c>
      <c r="J25" s="59" t="s">
        <v>124</v>
      </c>
      <c r="K25" s="58">
        <v>16311</v>
      </c>
      <c r="L25" s="58" t="s">
        <v>125</v>
      </c>
      <c r="M25" s="59" t="s">
        <v>89</v>
      </c>
      <c r="N25" s="59" t="s">
        <v>90</v>
      </c>
      <c r="O25" s="60" t="s">
        <v>119</v>
      </c>
      <c r="P25" s="61" t="s">
        <v>120</v>
      </c>
    </row>
    <row r="26" spans="1:16">
      <c r="B26" s="3"/>
      <c r="F26" s="3"/>
    </row>
    <row r="27" spans="1:16">
      <c r="B27" s="3"/>
      <c r="F27" s="3"/>
    </row>
    <row r="28" spans="1:16">
      <c r="B28" s="3"/>
      <c r="F28" s="3"/>
    </row>
    <row r="29" spans="1:16">
      <c r="B29" s="3"/>
      <c r="F29" s="3"/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</sheetData>
  <phoneticPr fontId="8" type="noConversion"/>
  <hyperlinks>
    <hyperlink ref="P11" r:id="rId1" display="http://www.konkoly.hu/cgi-bin/IBVS?5548"/>
    <hyperlink ref="P12" r:id="rId2" display="http://www.konkoly.hu/cgi-bin/IBVS?5548"/>
    <hyperlink ref="P13" r:id="rId3" display="http://www.konkoly.hu/cgi-bin/IBVS?5548"/>
    <hyperlink ref="P14" r:id="rId4" display="http://www.konkoly.hu/cgi-bin/IBVS?5548"/>
    <hyperlink ref="P15" r:id="rId5" display="http://www.konkoly.hu/cgi-bin/IBVS?5548"/>
    <hyperlink ref="P16" r:id="rId6" display="http://var.astro.cz/oejv/issues/oejv0074.pdf"/>
    <hyperlink ref="P17" r:id="rId7" display="http://var.astro.cz/oejv/issues/oejv0074.pdf"/>
    <hyperlink ref="P18" r:id="rId8" display="http://var.astro.cz/oejv/issues/oejv0074.pdf"/>
    <hyperlink ref="P19" r:id="rId9" display="http://www.konkoly.hu/cgi-bin/IBVS?6007"/>
    <hyperlink ref="P20" r:id="rId10" display="http://var.astro.cz/oejv/issues/oejv0074.pdf"/>
    <hyperlink ref="P21" r:id="rId11" display="http://www.konkoly.hu/cgi-bin/IBVS?5929"/>
    <hyperlink ref="P22" r:id="rId12" display="http://www.konkoly.hu/cgi-bin/IBVS?6018"/>
    <hyperlink ref="P23" r:id="rId13" display="http://var.astro.cz/oejv/issues/oejv0160.pdf"/>
    <hyperlink ref="P24" r:id="rId14" display="http://var.astro.cz/oejv/issues/oejv0160.pdf"/>
    <hyperlink ref="P25" r:id="rId15" display="http://var.astro.cz/oejv/issues/oejv0160.pdf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workbookViewId="0">
      <selection activeCell="G23" sqref="G23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41</v>
      </c>
    </row>
    <row r="2" spans="1:7">
      <c r="A2" t="s">
        <v>23</v>
      </c>
      <c r="B2" t="s">
        <v>42</v>
      </c>
      <c r="C2" s="3"/>
      <c r="D2" s="3"/>
    </row>
    <row r="3" spans="1:7" ht="13.5" thickBot="1"/>
    <row r="4" spans="1:7" ht="14.25" thickTop="1" thickBot="1">
      <c r="A4" s="5" t="s">
        <v>40</v>
      </c>
      <c r="C4" s="8">
        <v>52500.163</v>
      </c>
      <c r="D4" s="9">
        <v>0.36413869999999998</v>
      </c>
    </row>
    <row r="5" spans="1:7">
      <c r="C5" s="31" t="s">
        <v>38</v>
      </c>
    </row>
    <row r="6" spans="1:7">
      <c r="A6" s="5" t="s">
        <v>1</v>
      </c>
    </row>
    <row r="7" spans="1:7">
      <c r="A7" t="s">
        <v>2</v>
      </c>
      <c r="C7">
        <f>C4</f>
        <v>52500.163</v>
      </c>
    </row>
    <row r="8" spans="1:7">
      <c r="A8" t="s">
        <v>3</v>
      </c>
      <c r="C8">
        <v>0.36413870369572215</v>
      </c>
      <c r="D8" s="30"/>
    </row>
    <row r="9" spans="1:7">
      <c r="A9" s="11" t="s">
        <v>30</v>
      </c>
      <c r="B9" s="12"/>
      <c r="C9" s="13">
        <v>7</v>
      </c>
      <c r="D9" s="12" t="s">
        <v>31</v>
      </c>
      <c r="E9" s="12"/>
    </row>
    <row r="10" spans="1:7" ht="13.5" thickBot="1">
      <c r="A10" s="12"/>
      <c r="B10" s="12"/>
      <c r="C10" s="4" t="s">
        <v>19</v>
      </c>
      <c r="D10" s="4" t="s">
        <v>20</v>
      </c>
      <c r="E10" s="12"/>
    </row>
    <row r="11" spans="1:7">
      <c r="A11" s="12" t="s">
        <v>15</v>
      </c>
      <c r="B11" s="12"/>
      <c r="C11" s="24">
        <f ca="1">INTERCEPT(INDIRECT($G$11):G975,INDIRECT($F$11):F975)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16</v>
      </c>
      <c r="B12" s="12"/>
      <c r="C12" s="24">
        <f ca="1">SLOPE(INDIRECT($G$11):G975,INDIRECT($F$11):F975)</f>
        <v>-1.001517113286727E-5</v>
      </c>
      <c r="D12" s="3"/>
      <c r="E12" s="12"/>
    </row>
    <row r="13" spans="1:7">
      <c r="A13" s="12" t="s">
        <v>18</v>
      </c>
      <c r="B13" s="12"/>
      <c r="C13" s="3" t="s">
        <v>13</v>
      </c>
      <c r="D13" s="3"/>
      <c r="E13" s="12"/>
    </row>
    <row r="14" spans="1:7">
      <c r="A14" s="12"/>
      <c r="B14" s="12"/>
      <c r="C14" s="12"/>
      <c r="D14" s="12"/>
      <c r="E14" s="12"/>
    </row>
    <row r="15" spans="1:7">
      <c r="A15" s="14" t="s">
        <v>17</v>
      </c>
      <c r="B15" s="12"/>
      <c r="C15" s="15">
        <f ca="1">(C7+C11)+(C8+C12)*INT(MAX(F21:F3516))</f>
        <v>54937.640440983603</v>
      </c>
      <c r="D15" s="16" t="s">
        <v>32</v>
      </c>
      <c r="E15" s="17">
        <f ca="1">TODAY()+15018.5-B9/24</f>
        <v>60339.5</v>
      </c>
    </row>
    <row r="16" spans="1:7">
      <c r="A16" s="18" t="s">
        <v>4</v>
      </c>
      <c r="B16" s="12"/>
      <c r="C16" s="19">
        <f ca="1">+C8+C12</f>
        <v>0.36412868852458929</v>
      </c>
      <c r="D16" s="16" t="s">
        <v>33</v>
      </c>
      <c r="E16" s="17">
        <f ca="1">ROUND(2*(E15-C15)/C16,0)/2+1</f>
        <v>14836</v>
      </c>
    </row>
    <row r="17" spans="1:17" ht="13.5" thickBot="1">
      <c r="A17" s="16" t="s">
        <v>29</v>
      </c>
      <c r="B17" s="12"/>
      <c r="C17" s="12">
        <f>COUNT(C21:C2174)</f>
        <v>3</v>
      </c>
      <c r="D17" s="16" t="s">
        <v>34</v>
      </c>
      <c r="E17" s="20">
        <f ca="1">+C15+C16*E16-15018.5-C9/24</f>
        <v>45321.061997267745</v>
      </c>
    </row>
    <row r="18" spans="1:17" ht="14.25" thickTop="1" thickBot="1">
      <c r="A18" s="18" t="s">
        <v>5</v>
      </c>
      <c r="B18" s="12"/>
      <c r="C18" s="21">
        <f ca="1">+C15</f>
        <v>54937.640440983603</v>
      </c>
      <c r="D18" s="22">
        <f ca="1">+C16</f>
        <v>0.36412868852458929</v>
      </c>
      <c r="E18" s="23" t="s">
        <v>35</v>
      </c>
    </row>
    <row r="19" spans="1:17" ht="13.5" thickTop="1">
      <c r="A19" s="27" t="s">
        <v>36</v>
      </c>
      <c r="E19" s="28">
        <v>21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28</v>
      </c>
      <c r="J20" s="7" t="s">
        <v>45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7">
      <c r="A21" s="29" t="s">
        <v>43</v>
      </c>
      <c r="B21" s="34" t="s">
        <v>37</v>
      </c>
      <c r="C21" s="35">
        <v>52411.315600000002</v>
      </c>
      <c r="D21" s="36">
        <v>1E-4</v>
      </c>
      <c r="E21">
        <f>+(C21-C$7)/C$8</f>
        <v>-243.99328909085284</v>
      </c>
      <c r="F21">
        <f>ROUND(2*E21,0)/2</f>
        <v>-244</v>
      </c>
      <c r="G21">
        <f>+C21-(C$7+F21*C$8)</f>
        <v>2.443701756419614E-3</v>
      </c>
      <c r="I21">
        <f>+G21</f>
        <v>2.443701756419614E-3</v>
      </c>
      <c r="O21">
        <f ca="1">+C$11+C$12*$F21</f>
        <v>2.443701756419614E-3</v>
      </c>
      <c r="Q21" s="2">
        <f>+C21-15018.5</f>
        <v>37392.815600000002</v>
      </c>
    </row>
    <row r="22" spans="1:17">
      <c r="A22" s="33" t="s">
        <v>39</v>
      </c>
      <c r="B22" s="32" t="s">
        <v>37</v>
      </c>
      <c r="C22" s="33">
        <v>52500.163</v>
      </c>
      <c r="D22" s="29"/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0</v>
      </c>
      <c r="Q22" s="2">
        <f>+C22-15018.5</f>
        <v>37481.663</v>
      </c>
    </row>
    <row r="23" spans="1:17">
      <c r="A23" s="5" t="s">
        <v>44</v>
      </c>
      <c r="C23" s="10">
        <v>54937.708769999997</v>
      </c>
      <c r="D23" s="10">
        <v>1E-3</v>
      </c>
      <c r="E23">
        <f>+(C23-C$7)/C$8</f>
        <v>6694.0035356330427</v>
      </c>
      <c r="F23">
        <f>ROUND(2*E23,0)/2</f>
        <v>6694</v>
      </c>
      <c r="J23">
        <v>1.2874608364654705E-3</v>
      </c>
      <c r="O23">
        <f ca="1">+C$11+C$12*$F23</f>
        <v>-6.7041555563413499E-2</v>
      </c>
      <c r="Q23" s="2">
        <f>+C23-15018.5</f>
        <v>39919.208769999997</v>
      </c>
    </row>
    <row r="24" spans="1:17">
      <c r="C24" s="10"/>
      <c r="D24" s="10"/>
    </row>
    <row r="25" spans="1:17">
      <c r="C25" s="10"/>
      <c r="D25" s="10"/>
    </row>
    <row r="26" spans="1:17">
      <c r="C26" s="10"/>
      <c r="D26" s="10"/>
    </row>
    <row r="27" spans="1:17">
      <c r="C27" s="10"/>
      <c r="D27" s="10"/>
    </row>
    <row r="28" spans="1:17">
      <c r="C28" s="10"/>
      <c r="D28" s="10"/>
    </row>
    <row r="29" spans="1:17">
      <c r="C29" s="10"/>
      <c r="D29" s="10"/>
    </row>
    <row r="30" spans="1:17">
      <c r="C30" s="10"/>
      <c r="D30" s="10"/>
    </row>
    <row r="31" spans="1:17">
      <c r="C31" s="10"/>
      <c r="D31" s="10"/>
    </row>
    <row r="32" spans="1:17">
      <c r="C32" s="10"/>
      <c r="D32" s="10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2024-01-30T04:25:13Z</dcterms:modified>
</cp:coreProperties>
</file>