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41CA80E-6043-4B9F-922F-E629D1F3A28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6" i="1" l="1"/>
  <c r="C7" i="1"/>
  <c r="E26" i="1"/>
  <c r="F26" i="1"/>
  <c r="C8" i="1"/>
  <c r="E9" i="1"/>
  <c r="D9" i="1"/>
  <c r="E22" i="1"/>
  <c r="F22" i="1"/>
  <c r="E24" i="1"/>
  <c r="F24" i="1"/>
  <c r="G24" i="1"/>
  <c r="K24" i="1"/>
  <c r="Q25" i="1"/>
  <c r="Q22" i="1"/>
  <c r="Q23" i="1"/>
  <c r="Q24" i="1"/>
  <c r="B2" i="1"/>
  <c r="A1" i="1"/>
  <c r="E21" i="1"/>
  <c r="F21" i="1"/>
  <c r="G21" i="1"/>
  <c r="I21" i="1"/>
  <c r="D8" i="1"/>
  <c r="F16" i="1"/>
  <c r="C17" i="1"/>
  <c r="Q21" i="1"/>
  <c r="E23" i="1"/>
  <c r="F23" i="1"/>
  <c r="G23" i="1"/>
  <c r="K23" i="1"/>
  <c r="G22" i="1"/>
  <c r="E25" i="1"/>
  <c r="F25" i="1"/>
  <c r="G25" i="1"/>
  <c r="K25" i="1"/>
  <c r="G26" i="1"/>
  <c r="K26" i="1"/>
  <c r="K22" i="1"/>
  <c r="C11" i="1"/>
  <c r="C12" i="1"/>
  <c r="C16" i="1" l="1"/>
  <c r="D18" i="1" s="1"/>
  <c r="O22" i="1"/>
  <c r="C15" i="1"/>
  <c r="O26" i="1"/>
  <c r="O25" i="1"/>
  <c r="O21" i="1"/>
  <c r="O24" i="1"/>
  <c r="O23" i="1"/>
  <c r="F17" i="1"/>
  <c r="C18" i="1" l="1"/>
  <c r="F18" i="1"/>
  <c r="F19" i="1" s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<sst xmlns="http://schemas.openxmlformats.org/spreadsheetml/2006/main" count="58" uniqueCount="52">
  <si>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</si>
  <si>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</si>
  <si>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</si>
  <si>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</si>
  <si>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</si>
  <si>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</si>
  <si>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</si>
  <si>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</si>
  <si>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</si>
  <si>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</si>
  <si>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</si>
  <si>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</si>
  <si>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</si>
  <si>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</si>
  <si>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</si>
  <si>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</si>
  <si>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</si>
  <si>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</si>
  <si>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</si>
  <si>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</si>
  <si>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</si>
  <si>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</si>
  <si>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</si>
  <si>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</si>
  <si>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</si>
  <si>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</si>
  <si>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</si>
  <si>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</si>
  <si>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</si>
  <si>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</si>
  <si>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</si>
  <si>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</si>
  <si>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</si>
  <si>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</si>
  <si>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</si>
  <si>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</si>
  <si>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</si>
  <si>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</si>
  <si>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</si>
  <si>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</si>
  <si>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</si>
  <si>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FY CVn</t>
  </si>
  <si>
    <t>2013a</t>
  </si>
  <si>
    <t>G3027-0925</t>
  </si>
  <si>
    <t>EW</t>
  </si>
  <si>
    <t>BRNO</t>
  </si>
  <si>
    <t>GCVS</t>
  </si>
  <si>
    <t>OEJV 0168</t>
  </si>
  <si>
    <t>I</t>
  </si>
  <si>
    <t>II</t>
  </si>
  <si>
    <t>OEJV 0179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</si>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</sst>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16" fillId="0" borderId="0"/>
    <xf numFmtId="0" fontId="16" fillId="0" borderId="0"/>
    <xf numFmtId="0" fontId="16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4" borderId="5" xfId="0" applyFont="1" applyFill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6" fillId="24" borderId="5" xfId="0" applyFont="1" applyFill="1" applyBorder="1" applyAlignment="1">
      <alignment vertical="center"/>
    </xf>
    <xf numFmtId="0" fontId="18" fillId="0" borderId="5" xfId="0" applyNumberFormat="1" applyFont="1" applyBorder="1" applyAlignment="1">
      <alignment horizontal="left" vertical="center"/>
    </xf>
    <xf numFmtId="0" fontId="16" fillId="0" borderId="5" xfId="0" applyNumberFormat="1" applyFont="1" applyBorder="1" applyAlignment="1">
      <alignment horizontal="left" vertical="center"/>
    </xf>
    <xf numFmtId="0" fontId="16" fillId="25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8" fillId="26" borderId="0" xfId="0" applyFont="1" applyFill="1" applyAlignment="1"/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5" fillId="0" borderId="0" xfId="41" applyFont="1"/>
    <xf numFmtId="0" fontId="35" fillId="0" borderId="0" xfId="41" applyFont="1" applyAlignment="1">
      <alignment horizontal="center"/>
    </xf>
    <xf numFmtId="0" fontId="35" fillId="0" borderId="0" xfId="41" applyFont="1" applyAlignment="1">
      <alignment horizontal="left"/>
    </xf>
    <xf numFmtId="0" fontId="8" fillId="27" borderId="0" xfId="0" applyFont="1" applyFill="1" applyAlignment="1"/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FY CVn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8956.5</c:v>
                </c:pt>
                <c:pt idx="2">
                  <c:v>13731.5</c:v>
                </c:pt>
                <c:pt idx="3">
                  <c:v>13739</c:v>
                </c:pt>
                <c:pt idx="4">
                  <c:v>14824</c:v>
                </c:pt>
                <c:pt idx="5">
                  <c:v>16570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E2-44A7-8A52-5268AA3A1DE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8956.5</c:v>
                </c:pt>
                <c:pt idx="2">
                  <c:v>13731.5</c:v>
                </c:pt>
                <c:pt idx="3">
                  <c:v>13739</c:v>
                </c:pt>
                <c:pt idx="4">
                  <c:v>14824</c:v>
                </c:pt>
                <c:pt idx="5">
                  <c:v>16570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E2-44A7-8A52-5268AA3A1DE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8956.5</c:v>
                </c:pt>
                <c:pt idx="2">
                  <c:v>13731.5</c:v>
                </c:pt>
                <c:pt idx="3">
                  <c:v>13739</c:v>
                </c:pt>
                <c:pt idx="4">
                  <c:v>14824</c:v>
                </c:pt>
                <c:pt idx="5">
                  <c:v>16570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E2-44A7-8A52-5268AA3A1DE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8956.5</c:v>
                </c:pt>
                <c:pt idx="2">
                  <c:v>13731.5</c:v>
                </c:pt>
                <c:pt idx="3">
                  <c:v>13739</c:v>
                </c:pt>
                <c:pt idx="4">
                  <c:v>14824</c:v>
                </c:pt>
                <c:pt idx="5">
                  <c:v>16570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0.16604999999981374</c:v>
                </c:pt>
                <c:pt idx="2">
                  <c:v>0.2521100000012666</c:v>
                </c:pt>
                <c:pt idx="3">
                  <c:v>0.25164000000222586</c:v>
                </c:pt>
                <c:pt idx="4">
                  <c:v>0.2695499999972526</c:v>
                </c:pt>
                <c:pt idx="5">
                  <c:v>0.29975999999442138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E2-44A7-8A52-5268AA3A1DE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8956.5</c:v>
                </c:pt>
                <c:pt idx="2">
                  <c:v>13731.5</c:v>
                </c:pt>
                <c:pt idx="3">
                  <c:v>13739</c:v>
                </c:pt>
                <c:pt idx="4">
                  <c:v>14824</c:v>
                </c:pt>
                <c:pt idx="5">
                  <c:v>16570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E2-44A7-8A52-5268AA3A1DE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8956.5</c:v>
                </c:pt>
                <c:pt idx="2">
                  <c:v>13731.5</c:v>
                </c:pt>
                <c:pt idx="3">
                  <c:v>13739</c:v>
                </c:pt>
                <c:pt idx="4">
                  <c:v>14824</c:v>
                </c:pt>
                <c:pt idx="5">
                  <c:v>16570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E2-44A7-8A52-5268AA3A1DE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8956.5</c:v>
                </c:pt>
                <c:pt idx="2">
                  <c:v>13731.5</c:v>
                </c:pt>
                <c:pt idx="3">
                  <c:v>13739</c:v>
                </c:pt>
                <c:pt idx="4">
                  <c:v>14824</c:v>
                </c:pt>
                <c:pt idx="5">
                  <c:v>16570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3E2-44A7-8A52-5268AA3A1DE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8956.5</c:v>
                </c:pt>
                <c:pt idx="2">
                  <c:v>13731.5</c:v>
                </c:pt>
                <c:pt idx="3">
                  <c:v>13739</c:v>
                </c:pt>
                <c:pt idx="4">
                  <c:v>14824</c:v>
                </c:pt>
                <c:pt idx="5">
                  <c:v>16570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9.0862915945257583E-3</c:v>
                </c:pt>
                <c:pt idx="1">
                  <c:v>0.16672451370306426</c:v>
                </c:pt>
                <c:pt idx="2">
                  <c:v>0.25076655139281712</c:v>
                </c:pt>
                <c:pt idx="3">
                  <c:v>0.25089855459337695</c:v>
                </c:pt>
                <c:pt idx="4">
                  <c:v>0.26999501760769773</c:v>
                </c:pt>
                <c:pt idx="5">
                  <c:v>0.30072536269802408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E2-44A7-8A52-5268AA3A1DE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8956.5</c:v>
                </c:pt>
                <c:pt idx="2">
                  <c:v>13731.5</c:v>
                </c:pt>
                <c:pt idx="3">
                  <c:v>13739</c:v>
                </c:pt>
                <c:pt idx="4">
                  <c:v>14824</c:v>
                </c:pt>
                <c:pt idx="5">
                  <c:v>16570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3E2-44A7-8A52-5268AA3A1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527656"/>
        <c:axId val="1"/>
      </c:scatterChart>
      <c:valAx>
        <c:axId val="594527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4527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91E3184-8921-3DC6-43FE-4FCC982E7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4" sqref="F14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>
      <c r="A1" s="1" t="str">
        <f>F1&amp;" / GSC "&amp;RIGHT(I1,9)</f>
        <v>FY CVn / GSC 3027-0925</v>
      </c>
      <c r="F1" s="31" t="s">
        <v>41</v>
      </c>
      <c r="G1" s="32" t="s">
        <v>42</v>
      </c>
      <c r="H1" s="33"/>
      <c r="I1" s="34" t="s">
        <v>43</v>
      </c>
      <c r="J1" s="35" t="s">
        <v>41</v>
      </c>
      <c r="K1" s="36">
        <v>13.564300000000001</v>
      </c>
      <c r="L1" s="37">
        <v>39.343570000000007</v>
      </c>
      <c r="M1" s="38">
        <v>51404.625</v>
      </c>
      <c r="N1" s="38">
        <v>0.3861</v>
      </c>
      <c r="O1" s="34" t="s">
        <v>44</v>
      </c>
    </row>
    <row r="2" spans="1:15">
      <c r="A2" t="s">
        <v>23</v>
      </c>
      <c r="B2" t="str">
        <f>O1</f>
        <v>EW</v>
      </c>
      <c r="C2" s="30"/>
      <c r="D2" s="3"/>
    </row>
    <row r="3" spans="1:15" ht="13.5" thickBot="1"/>
    <row r="4" spans="1:15" ht="14.25" thickTop="1" thickBot="1">
      <c r="A4" s="5" t="s">
        <v>0</v>
      </c>
      <c r="C4" s="27">
        <v>54862.895700000001</v>
      </c>
      <c r="D4" s="28">
        <v>0.38611899999999999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 s="52">
        <f>M1</f>
        <v>51404.625</v>
      </c>
      <c r="D7" s="34" t="s">
        <v>45</v>
      </c>
    </row>
    <row r="8" spans="1:15">
      <c r="A8" t="s">
        <v>3</v>
      </c>
      <c r="C8" s="52">
        <f>N1</f>
        <v>0.3861</v>
      </c>
      <c r="D8" s="29" t="str">
        <f>D7</f>
        <v>BRNO</v>
      </c>
    </row>
    <row r="9" spans="1:15">
      <c r="A9" s="24" t="s">
        <v>32</v>
      </c>
      <c r="C9" s="25">
        <v>22</v>
      </c>
      <c r="D9" s="22" t="str">
        <f>"F"&amp;C9</f>
        <v>F22</v>
      </c>
      <c r="E9" s="23" t="str">
        <f>"G"&amp;C9</f>
        <v>G22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INTERCEPT(INDIRECT($E$9):G992,INDIRECT($D$9):F992)</f>
        <v>9.0862915945257583E-3</v>
      </c>
      <c r="D11" s="3"/>
      <c r="E11" s="10"/>
    </row>
    <row r="12" spans="1:15">
      <c r="A12" s="10" t="s">
        <v>16</v>
      </c>
      <c r="B12" s="10"/>
      <c r="C12" s="21">
        <f ca="1">SLOPE(INDIRECT($E$9):G992,INDIRECT($D$9):F992)</f>
        <v>1.7600426741309496E-5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</row>
    <row r="15" spans="1:15">
      <c r="A15" s="12" t="s">
        <v>17</v>
      </c>
      <c r="B15" s="10"/>
      <c r="C15" s="13">
        <f ca="1">(C7+C11)+(C8+C12)*INT(MAX(F21:F3533))</f>
        <v>57802.602725362703</v>
      </c>
      <c r="E15" s="14" t="s">
        <v>34</v>
      </c>
      <c r="F15" s="39">
        <v>1</v>
      </c>
    </row>
    <row r="16" spans="1:15">
      <c r="A16" s="16" t="s">
        <v>4</v>
      </c>
      <c r="B16" s="10"/>
      <c r="C16" s="17">
        <f ca="1">+C8+C12</f>
        <v>0.38611760042674131</v>
      </c>
      <c r="E16" s="14" t="s">
        <v>30</v>
      </c>
      <c r="F16" s="40">
        <f ca="1">NOW()+15018.5+$C$5/24</f>
        <v>60339.752041898144</v>
      </c>
    </row>
    <row r="17" spans="1:21" ht="13.5" thickBot="1">
      <c r="A17" s="14" t="s">
        <v>27</v>
      </c>
      <c r="B17" s="10"/>
      <c r="C17" s="10">
        <f>COUNT(C21:C2191)</f>
        <v>6</v>
      </c>
      <c r="E17" s="14" t="s">
        <v>35</v>
      </c>
      <c r="F17" s="15">
        <f ca="1">ROUND(2*(F16-$C$7)/$C$8,0)/2+F15</f>
        <v>23143</v>
      </c>
    </row>
    <row r="18" spans="1:21" ht="14.25" thickTop="1" thickBot="1">
      <c r="A18" s="16" t="s">
        <v>5</v>
      </c>
      <c r="B18" s="10"/>
      <c r="C18" s="19">
        <f ca="1">+C15</f>
        <v>57802.602725362703</v>
      </c>
      <c r="D18" s="20">
        <f ca="1">+C16</f>
        <v>0.38611760042674131</v>
      </c>
      <c r="E18" s="14" t="s">
        <v>36</v>
      </c>
      <c r="F18" s="23">
        <f ca="1">ROUND(2*(F16-$C$15)/$C$16,0)/2+F15</f>
        <v>6572</v>
      </c>
    </row>
    <row r="19" spans="1:21" ht="13.5" thickTop="1">
      <c r="E19" s="14" t="s">
        <v>31</v>
      </c>
      <c r="F19" s="18">
        <f ca="1">+$C$15+$C$16*F18-15018.5-$C$5/24</f>
        <v>45322.063428700581</v>
      </c>
    </row>
    <row r="20" spans="1:21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>
      <c r="A21" t="s">
        <v>45</v>
      </c>
      <c r="C21" s="8">
        <v>51404.625</v>
      </c>
      <c r="D21" s="8" t="s">
        <v>13</v>
      </c>
      <c r="E21">
        <f t="shared" ref="E21:E26" si="0">+(C21-C$7)/C$8</f>
        <v>0</v>
      </c>
      <c r="F21">
        <f>ROUND(2*E21,0)/2</f>
        <v>0</v>
      </c>
      <c r="G21">
        <f t="shared" ref="G21:G26" si="1">+C21-(C$7+F21*C$8)</f>
        <v>0</v>
      </c>
      <c r="I21">
        <f>+G21</f>
        <v>0</v>
      </c>
      <c r="O21">
        <f t="shared" ref="O21:O26" ca="1" si="2">+C$11+C$12*$F21</f>
        <v>9.0862915945257583E-3</v>
      </c>
      <c r="Q21" s="2">
        <f t="shared" ref="Q21:Q26" si="3">+C21-15018.5</f>
        <v>36386.125</v>
      </c>
    </row>
    <row r="22" spans="1:21">
      <c r="A22" t="s">
        <v>46</v>
      </c>
      <c r="C22" s="8">
        <v>54862.895700000001</v>
      </c>
      <c r="D22" s="8"/>
      <c r="E22">
        <f t="shared" si="0"/>
        <v>8956.9300699300729</v>
      </c>
      <c r="F22" s="44">
        <f>ROUND(2*E22,0)/2-0.5</f>
        <v>8956.5</v>
      </c>
      <c r="G22">
        <f t="shared" si="1"/>
        <v>0.16604999999981374</v>
      </c>
      <c r="K22">
        <f>+G22</f>
        <v>0.16604999999981374</v>
      </c>
      <c r="O22">
        <f t="shared" ca="1" si="2"/>
        <v>0.16672451370306426</v>
      </c>
      <c r="Q22" s="2">
        <f t="shared" si="3"/>
        <v>39844.395700000001</v>
      </c>
    </row>
    <row r="23" spans="1:21">
      <c r="A23" s="41" t="s">
        <v>47</v>
      </c>
      <c r="B23" s="42" t="s">
        <v>48</v>
      </c>
      <c r="C23" s="43">
        <v>56706.609259999997</v>
      </c>
      <c r="D23" s="41">
        <v>4.0000000000000002E-4</v>
      </c>
      <c r="E23">
        <f t="shared" si="0"/>
        <v>13732.152965552959</v>
      </c>
      <c r="F23" s="44">
        <f>ROUND(2*E23,0)/2-0.5</f>
        <v>13731.5</v>
      </c>
      <c r="G23">
        <f t="shared" si="1"/>
        <v>0.2521100000012666</v>
      </c>
      <c r="K23">
        <f>+G23</f>
        <v>0.2521100000012666</v>
      </c>
      <c r="O23">
        <f t="shared" ca="1" si="2"/>
        <v>0.25076655139281712</v>
      </c>
      <c r="Q23" s="2">
        <f t="shared" si="3"/>
        <v>41688.109259999997</v>
      </c>
    </row>
    <row r="24" spans="1:21">
      <c r="A24" s="41" t="s">
        <v>47</v>
      </c>
      <c r="B24" s="42" t="s">
        <v>49</v>
      </c>
      <c r="C24" s="43">
        <v>56709.504540000002</v>
      </c>
      <c r="D24" s="41">
        <v>2.9999999999999997E-4</v>
      </c>
      <c r="E24">
        <f t="shared" si="0"/>
        <v>13739.651748251752</v>
      </c>
      <c r="F24" s="44">
        <f>ROUND(2*E24,0)/2-0.5</f>
        <v>13739</v>
      </c>
      <c r="G24">
        <f t="shared" si="1"/>
        <v>0.25164000000222586</v>
      </c>
      <c r="K24">
        <f>+G24</f>
        <v>0.25164000000222586</v>
      </c>
      <c r="O24">
        <f t="shared" ca="1" si="2"/>
        <v>0.25089855459337695</v>
      </c>
      <c r="Q24" s="2">
        <f t="shared" si="3"/>
        <v>41691.004540000002</v>
      </c>
    </row>
    <row r="25" spans="1:21">
      <c r="A25" s="45" t="s">
        <v>50</v>
      </c>
      <c r="B25" s="46" t="s">
        <v>49</v>
      </c>
      <c r="C25" s="47">
        <v>57128.440949999997</v>
      </c>
      <c r="D25" s="47">
        <v>4.0000000000000002E-4</v>
      </c>
      <c r="E25">
        <f t="shared" si="0"/>
        <v>14824.698135198127</v>
      </c>
      <c r="F25" s="44">
        <f>ROUND(2*E25,0)/2-0.5</f>
        <v>14824</v>
      </c>
      <c r="G25">
        <f t="shared" si="1"/>
        <v>0.2695499999972526</v>
      </c>
      <c r="K25">
        <f>+G25</f>
        <v>0.2695499999972526</v>
      </c>
      <c r="O25">
        <f t="shared" ca="1" si="2"/>
        <v>0.26999501760769773</v>
      </c>
      <c r="Q25" s="2">
        <f t="shared" si="3"/>
        <v>42109.940949999997</v>
      </c>
    </row>
    <row r="26" spans="1:21">
      <c r="A26" s="48" t="s">
        <v>51</v>
      </c>
      <c r="B26" s="49" t="s">
        <v>49</v>
      </c>
      <c r="C26" s="50">
        <v>57802.60175999999</v>
      </c>
      <c r="D26" s="50">
        <v>8.9999999999999998E-4</v>
      </c>
      <c r="E26">
        <f t="shared" si="0"/>
        <v>16570.776379176354</v>
      </c>
      <c r="F26" s="51">
        <f>ROUND(2*E26,0)/2-1</f>
        <v>16570</v>
      </c>
      <c r="G26">
        <f t="shared" si="1"/>
        <v>0.29975999999442138</v>
      </c>
      <c r="K26">
        <f>+G26</f>
        <v>0.29975999999442138</v>
      </c>
      <c r="O26">
        <f t="shared" ca="1" si="2"/>
        <v>0.30072536269802408</v>
      </c>
      <c r="Q26" s="2">
        <f t="shared" si="3"/>
        <v>42784.10175999999</v>
      </c>
    </row>
    <row r="27" spans="1:21">
      <c r="C27" s="8"/>
      <c r="D27" s="8"/>
      <c r="Q27" s="2"/>
    </row>
    <row r="28" spans="1:21">
      <c r="C28" s="8"/>
      <c r="D28" s="8"/>
      <c r="Q28" s="2"/>
    </row>
    <row r="29" spans="1:21">
      <c r="C29" s="8"/>
      <c r="D29" s="8"/>
      <c r="Q29" s="2"/>
    </row>
    <row r="30" spans="1:21">
      <c r="C30" s="8"/>
      <c r="D30" s="8"/>
      <c r="Q30" s="2"/>
    </row>
    <row r="31" spans="1:21">
      <c r="C31" s="8"/>
      <c r="D31" s="8"/>
      <c r="Q31" s="2"/>
    </row>
    <row r="32" spans="1:21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26:D26" name="Range1"/>
  </protectedRanges>
  <phoneticPr fontId="7" type="noConversion"/>
  <hyperlinks>
    <hyperlink ref="H1123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2024-01-30T05:02:56Z</dcterms:modified>
</cp:coreProperties>
</file>