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1F25B4-8DAE-40AD-91E4-8826273EDEC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3" i="1" l="1"/>
  <c r="Q44" i="1"/>
  <c r="Q45" i="1"/>
  <c r="Q46" i="1"/>
  <c r="Q47" i="1"/>
  <c r="Q48" i="1"/>
  <c r="Q49" i="1"/>
  <c r="Q50" i="1"/>
  <c r="Q51" i="1"/>
  <c r="Q52" i="1"/>
  <c r="C7" i="1"/>
  <c r="E43" i="1"/>
  <c r="F43" i="1"/>
  <c r="C8" i="1"/>
  <c r="E33" i="1"/>
  <c r="F33" i="1"/>
  <c r="G33" i="1"/>
  <c r="K33" i="1"/>
  <c r="D9" i="1"/>
  <c r="C9" i="1"/>
  <c r="E26" i="1"/>
  <c r="F26" i="1"/>
  <c r="E30" i="1"/>
  <c r="F30" i="1"/>
  <c r="G30" i="1"/>
  <c r="K30" i="1"/>
  <c r="E35" i="1"/>
  <c r="F35" i="1"/>
  <c r="G35" i="1"/>
  <c r="J35" i="1"/>
  <c r="E40" i="1"/>
  <c r="F40" i="1"/>
  <c r="G40" i="1"/>
  <c r="K40" i="1"/>
  <c r="E42" i="1"/>
  <c r="F42" i="1"/>
  <c r="G42" i="1"/>
  <c r="K42" i="1"/>
  <c r="E23" i="1"/>
  <c r="F23" i="1"/>
  <c r="G23" i="1"/>
  <c r="K23" i="1"/>
  <c r="E37" i="1"/>
  <c r="F37" i="1"/>
  <c r="G37" i="1"/>
  <c r="K37" i="1"/>
  <c r="E39" i="1"/>
  <c r="F39" i="1"/>
  <c r="G39" i="1"/>
  <c r="K39" i="1"/>
  <c r="C21" i="1"/>
  <c r="E21" i="1"/>
  <c r="F21" i="1"/>
  <c r="Q25" i="1"/>
  <c r="Q28" i="1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G29" i="2"/>
  <c r="C29" i="2"/>
  <c r="E29" i="2"/>
  <c r="G21" i="2"/>
  <c r="C21" i="2"/>
  <c r="G20" i="2"/>
  <c r="C20" i="2"/>
  <c r="E20" i="2"/>
  <c r="G19" i="2"/>
  <c r="C19" i="2"/>
  <c r="G18" i="2"/>
  <c r="C18" i="2"/>
  <c r="E18" i="2"/>
  <c r="G17" i="2"/>
  <c r="C17" i="2"/>
  <c r="G16" i="2"/>
  <c r="C16" i="2"/>
  <c r="G15" i="2"/>
  <c r="C15" i="2"/>
  <c r="E15" i="2"/>
  <c r="G28" i="2"/>
  <c r="C28" i="2"/>
  <c r="G14" i="2"/>
  <c r="C14" i="2"/>
  <c r="G13" i="2"/>
  <c r="C13" i="2"/>
  <c r="E13" i="2"/>
  <c r="G27" i="2"/>
  <c r="C27" i="2"/>
  <c r="G12" i="2"/>
  <c r="C12" i="2"/>
  <c r="E12" i="2"/>
  <c r="G11" i="2"/>
  <c r="C11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9" i="2"/>
  <c r="B29" i="2"/>
  <c r="D29" i="2"/>
  <c r="A29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28" i="2"/>
  <c r="B28" i="2"/>
  <c r="D28" i="2"/>
  <c r="A28" i="2"/>
  <c r="H14" i="2"/>
  <c r="D14" i="2"/>
  <c r="B14" i="2"/>
  <c r="A14" i="2"/>
  <c r="H13" i="2"/>
  <c r="B13" i="2"/>
  <c r="D13" i="2"/>
  <c r="A13" i="2"/>
  <c r="H27" i="2"/>
  <c r="D27" i="2"/>
  <c r="B27" i="2"/>
  <c r="A27" i="2"/>
  <c r="H12" i="2"/>
  <c r="B12" i="2"/>
  <c r="D12" i="2"/>
  <c r="A12" i="2"/>
  <c r="H11" i="2"/>
  <c r="D11" i="2"/>
  <c r="B11" i="2"/>
  <c r="A11" i="2"/>
  <c r="Q42" i="1"/>
  <c r="Q41" i="1"/>
  <c r="F16" i="1"/>
  <c r="C17" i="1"/>
  <c r="Q40" i="1"/>
  <c r="Q23" i="1"/>
  <c r="Q37" i="1"/>
  <c r="Q39" i="1"/>
  <c r="Q38" i="1"/>
  <c r="Q36" i="1"/>
  <c r="Q35" i="1"/>
  <c r="Q22" i="1"/>
  <c r="Q24" i="1"/>
  <c r="Q26" i="1"/>
  <c r="Q27" i="1"/>
  <c r="Q29" i="1"/>
  <c r="Q30" i="1"/>
  <c r="Q31" i="1"/>
  <c r="Q32" i="1"/>
  <c r="Q33" i="1"/>
  <c r="Q34" i="1"/>
  <c r="Q21" i="1"/>
  <c r="E27" i="2"/>
  <c r="E17" i="2"/>
  <c r="E28" i="2"/>
  <c r="E25" i="2"/>
  <c r="E11" i="2"/>
  <c r="E45" i="1"/>
  <c r="F45" i="1"/>
  <c r="E32" i="1"/>
  <c r="F32" i="1"/>
  <c r="G32" i="1"/>
  <c r="K32" i="1"/>
  <c r="U52" i="1"/>
  <c r="E50" i="1"/>
  <c r="F50" i="1"/>
  <c r="G44" i="1"/>
  <c r="K44" i="1"/>
  <c r="E38" i="1"/>
  <c r="F38" i="1"/>
  <c r="G38" i="1"/>
  <c r="J38" i="1"/>
  <c r="E29" i="1"/>
  <c r="F29" i="1"/>
  <c r="G29" i="1"/>
  <c r="K29" i="1"/>
  <c r="E47" i="1"/>
  <c r="F47" i="1"/>
  <c r="U47" i="1"/>
  <c r="E34" i="1"/>
  <c r="F34" i="1"/>
  <c r="G34" i="1"/>
  <c r="K34" i="1"/>
  <c r="E24" i="1"/>
  <c r="F24" i="1"/>
  <c r="G24" i="1"/>
  <c r="K24" i="1"/>
  <c r="E28" i="1"/>
  <c r="F28" i="1"/>
  <c r="G28" i="1"/>
  <c r="K28" i="1"/>
  <c r="E52" i="1"/>
  <c r="F52" i="1"/>
  <c r="U46" i="1"/>
  <c r="E44" i="1"/>
  <c r="F44" i="1"/>
  <c r="E41" i="1"/>
  <c r="F41" i="1"/>
  <c r="G41" i="1"/>
  <c r="K41" i="1"/>
  <c r="E31" i="1"/>
  <c r="F31" i="1"/>
  <c r="G31" i="1"/>
  <c r="K31" i="1"/>
  <c r="G22" i="1"/>
  <c r="E49" i="1"/>
  <c r="F49" i="1"/>
  <c r="U49" i="1"/>
  <c r="E36" i="1"/>
  <c r="F36" i="1"/>
  <c r="G36" i="1"/>
  <c r="J36" i="1"/>
  <c r="E27" i="1"/>
  <c r="F27" i="1"/>
  <c r="G27" i="1"/>
  <c r="K27" i="1"/>
  <c r="E46" i="1"/>
  <c r="F46" i="1"/>
  <c r="G43" i="1"/>
  <c r="K43" i="1"/>
  <c r="G26" i="1"/>
  <c r="K26" i="1"/>
  <c r="E22" i="1"/>
  <c r="F22" i="1"/>
  <c r="E51" i="1"/>
  <c r="F51" i="1"/>
  <c r="U51" i="1"/>
  <c r="U45" i="1"/>
  <c r="E25" i="1"/>
  <c r="F25" i="1"/>
  <c r="G25" i="1"/>
  <c r="K25" i="1"/>
  <c r="U50" i="1"/>
  <c r="E48" i="1"/>
  <c r="F48" i="1"/>
  <c r="U48" i="1"/>
  <c r="E16" i="2"/>
  <c r="E21" i="2"/>
  <c r="K22" i="1"/>
  <c r="E19" i="2"/>
  <c r="E14" i="2"/>
  <c r="E22" i="2"/>
  <c r="C11" i="1"/>
  <c r="C12" i="1"/>
  <c r="C16" i="1" l="1"/>
  <c r="D18" i="1" s="1"/>
  <c r="O50" i="1"/>
  <c r="O26" i="1"/>
  <c r="O44" i="1"/>
  <c r="O36" i="1"/>
  <c r="O33" i="1"/>
  <c r="O35" i="1"/>
  <c r="O38" i="1"/>
  <c r="O28" i="1"/>
  <c r="O47" i="1"/>
  <c r="O48" i="1"/>
  <c r="O31" i="1"/>
  <c r="O37" i="1"/>
  <c r="O27" i="1"/>
  <c r="O32" i="1"/>
  <c r="C15" i="1"/>
  <c r="O46" i="1"/>
  <c r="O42" i="1"/>
  <c r="O51" i="1"/>
  <c r="O52" i="1"/>
  <c r="O24" i="1"/>
  <c r="O29" i="1"/>
  <c r="O25" i="1"/>
  <c r="O45" i="1"/>
  <c r="O49" i="1"/>
  <c r="O39" i="1"/>
  <c r="O23" i="1"/>
  <c r="O22" i="1"/>
  <c r="O34" i="1"/>
  <c r="O43" i="1"/>
  <c r="O41" i="1"/>
  <c r="O40" i="1"/>
  <c r="O30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<sst xmlns="http://schemas.openxmlformats.org/spreadsheetml/2006/main" count="279" uniqueCount="150">
  <si>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</si>
  <si>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</si>
  <si>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</si>
  <si>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</si>
  <si>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</si>
  <si>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</si>
  <si>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</si>
  <si>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</si>
  <si>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</si>
  <si>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</si>
  <si>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</si>
  <si>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</si>
  <si>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</si>
  <si>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</si>
  <si>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</si>
  <si>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</si>
  <si>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</si>
  <si>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</si>
  <si>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</si>
  <si>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</si>
  <si>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</si>
  <si>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</si>
  <si>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</si>
  <si>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</si>
  <si>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</si>
  <si>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</si>
  <si>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</si>
  <si>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</si>
  <si>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</si>
  <si>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5543</t>
  </si>
  <si>
    <t>I</t>
  </si>
  <si>
    <t>EA</t>
  </si>
  <si>
    <t>II</t>
  </si>
  <si>
    <t>IBVS 5403</t>
  </si>
  <si>
    <t>IBVS 5657</t>
  </si>
  <si>
    <t># of data points:</t>
  </si>
  <si>
    <t>IBVS 5713</t>
  </si>
  <si>
    <t>IBVS 5894</t>
  </si>
  <si>
    <t>OEJV 0074</t>
  </si>
  <si>
    <t>OEJV 0107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</si>
  <si>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</si>
  <si>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</si>
  <si>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</si>
  <si>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</si>
  <si>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</si>
  <si>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</si>
  <si>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</si>
  <si>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</si>
  <si>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</si>
  <si>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VV CVn / gsc 2538-0319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</si>
  <si>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</si>
  <si>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</si>
  <si>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</si>
  <si>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</si>
  <si>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</si>
  <si>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</si>
  <si>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</si>
  <si>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</si>
  <si>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</si>
  <si>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</si>
  <si>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</si>
  <si>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</si>
  <si>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2451246.681 </t>
  </si>
  <si>
    <t> 09.03.1999 04:20 </t>
  </si>
  <si>
    <t> -0.010 </t>
  </si>
  <si>
    <t>E </t>
  </si>
  <si>
    <t>?</t>
  </si>
  <si>
    <t> ROTSE1 </t>
  </si>
  <si>
    <t>IBVS 5403 </t>
  </si>
  <si>
    <t>2452014.40617 </t>
  </si>
  <si>
    <t> 14.04.2001 21:44 </t>
  </si>
  <si>
    <t> 0.00631 </t>
  </si>
  <si>
    <t>C </t>
  </si>
  <si>
    <t>o</t>
  </si>
  <si>
    <t> J.Šafár </t>
  </si>
  <si>
    <t>OEJV 0074 </t>
  </si>
  <si>
    <t>2452287.6402 </t>
  </si>
  <si>
    <t> 13.01.2002 03:21 </t>
  </si>
  <si>
    <t> 0.0106 </t>
  </si>
  <si>
    <t> E.Blättler </t>
  </si>
  <si>
    <t> BBS 127 </t>
  </si>
  <si>
    <t>2452308.6950 </t>
  </si>
  <si>
    <t> 03.02.2002 04:40 </t>
  </si>
  <si>
    <t> 0.0067 </t>
  </si>
  <si>
    <t>2452344.4157 </t>
  </si>
  <si>
    <t> 10.03.2002 21:58 </t>
  </si>
  <si>
    <t> 0.0076 </t>
  </si>
  <si>
    <t>2452347.3537 </t>
  </si>
  <si>
    <t> 13.03.2002 20:29 </t>
  </si>
  <si>
    <t> 0.0133 </t>
  </si>
  <si>
    <t>2452601.664 </t>
  </si>
  <si>
    <t> 23.11.2002 03:56 </t>
  </si>
  <si>
    <t> 0.020 </t>
  </si>
  <si>
    <t>2452655.504 </t>
  </si>
  <si>
    <t> 16.01.2003 00:05 </t>
  </si>
  <si>
    <t> 0.014 </t>
  </si>
  <si>
    <t>2452691.490 </t>
  </si>
  <si>
    <t> 20.02.2003 23:45 </t>
  </si>
  <si>
    <t> 0.013 </t>
  </si>
  <si>
    <t>2452694.424 </t>
  </si>
  <si>
    <t> 23.02.2003 22:10 </t>
  </si>
  <si>
    <t> 0.015 </t>
  </si>
  <si>
    <t>2453094.5297 </t>
  </si>
  <si>
    <t> 30.03.2004 00:42 </t>
  </si>
  <si>
    <t> 0.0058 </t>
  </si>
  <si>
    <t> BBS 130 </t>
  </si>
  <si>
    <t>2453465.3249 </t>
  </si>
  <si>
    <t> 04.04.2005 19:47 </t>
  </si>
  <si>
    <t> 0.0082 </t>
  </si>
  <si>
    <t>-I</t>
  </si>
  <si>
    <t> F.Agerer </t>
  </si>
  <si>
    <t>BAVM 173 </t>
  </si>
  <si>
    <t>2453465.5904 </t>
  </si>
  <si>
    <t> 05.04.2005 02:10 </t>
  </si>
  <si>
    <t>-3388</t>
  </si>
  <si>
    <t> 0.0071 </t>
  </si>
  <si>
    <t>2453833.4473 </t>
  </si>
  <si>
    <t> 07.04.2006 22:44 </t>
  </si>
  <si>
    <t>-2698</t>
  </si>
  <si>
    <t> 0.0034 </t>
  </si>
  <si>
    <t>R</t>
  </si>
  <si>
    <t> M.Lehky </t>
  </si>
  <si>
    <t>OEJV 0107 </t>
  </si>
  <si>
    <t>2453849.4391 </t>
  </si>
  <si>
    <t> 23.04.2006 22:32 </t>
  </si>
  <si>
    <t>-2668</t>
  </si>
  <si>
    <t> 0.0013 </t>
  </si>
  <si>
    <t> R. Diethelm </t>
  </si>
  <si>
    <t>IBVS 5713 </t>
  </si>
  <si>
    <t>2454172.5249 </t>
  </si>
  <si>
    <t> 13.03.2007 00:35 </t>
  </si>
  <si>
    <t>-2062</t>
  </si>
  <si>
    <t> 0.0095 </t>
  </si>
  <si>
    <t>2454950.8926 </t>
  </si>
  <si>
    <t> 29.04.2009 09:25 </t>
  </si>
  <si>
    <t>-602</t>
  </si>
  <si>
    <t> 0.0055 </t>
  </si>
  <si>
    <t> R.Diethelm </t>
  </si>
  <si>
    <t>IBVS 5894 </t>
  </si>
  <si>
    <t>2455634.8968 </t>
  </si>
  <si>
    <t> 14.03.2011 09:31 </t>
  </si>
  <si>
    <t>681</t>
  </si>
  <si>
    <t> 0.0023 </t>
  </si>
  <si>
    <t>IBVS 5992 </t>
  </si>
  <si>
    <t>2456021.9451 </t>
  </si>
  <si>
    <t> 04.04.2012 10:40 </t>
  </si>
  <si>
    <t>1407</t>
  </si>
  <si>
    <t> -0.0027 </t>
  </si>
  <si>
    <t>IBVS 6029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</si>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</sst>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11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42" applyFont="1"/>
    <xf numFmtId="0" fontId="11" fillId="0" borderId="0" xfId="42" applyFont="1" applyAlignment="1">
      <alignment horizontal="center"/>
    </xf>
    <xf numFmtId="0" fontId="11" fillId="0" borderId="0" xfId="42" applyFont="1" applyAlignment="1">
      <alignment horizontal="left"/>
    </xf>
    <xf numFmtId="0" fontId="34" fillId="0" borderId="10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V CVn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6-4D7E-A477-D5ECCE2A65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6-4D7E-A477-D5ECCE2A65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4">
                  <c:v>-4.7275199998694006E-2</c:v>
                </c:pt>
                <c:pt idx="15">
                  <c:v>-4.8337100000935607E-2</c:v>
                </c:pt>
                <c:pt idx="17">
                  <c:v>-4.8773099995742086E-2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F6-4D7E-A477-D5ECCE2A65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-9.6481500004301779E-2</c:v>
                </c:pt>
                <c:pt idx="2">
                  <c:v>-6.9583499993314035E-2</c:v>
                </c:pt>
                <c:pt idx="3">
                  <c:v>-6.1700999998720363E-2</c:v>
                </c:pt>
                <c:pt idx="4">
                  <c:v>-6.150099999649683E-2</c:v>
                </c:pt>
                <c:pt idx="5">
                  <c:v>-6.5091100004792679E-2</c:v>
                </c:pt>
                <c:pt idx="6">
                  <c:v>-6.3685700006317347E-2</c:v>
                </c:pt>
                <c:pt idx="7">
                  <c:v>-5.786660000012489E-2</c:v>
                </c:pt>
                <c:pt idx="8">
                  <c:v>-5.756660000042757E-2</c:v>
                </c:pt>
                <c:pt idx="9">
                  <c:v>-4.7619199998734985E-2</c:v>
                </c:pt>
                <c:pt idx="10">
                  <c:v>-5.3122999997867737E-2</c:v>
                </c:pt>
                <c:pt idx="11">
                  <c:v>-5.2979500003857538E-2</c:v>
                </c:pt>
                <c:pt idx="12">
                  <c:v>-5.1160400005755946E-2</c:v>
                </c:pt>
                <c:pt idx="13">
                  <c:v>-5.4872299995622598E-2</c:v>
                </c:pt>
                <c:pt idx="16">
                  <c:v>-4.6809099992970005E-2</c:v>
                </c:pt>
                <c:pt idx="18">
                  <c:v>-3.5995900005218573E-2</c:v>
                </c:pt>
                <c:pt idx="19">
                  <c:v>-2.9043900001852307E-2</c:v>
                </c:pt>
                <c:pt idx="20">
                  <c:v>-2.2679299996525515E-2</c:v>
                </c:pt>
                <c:pt idx="21">
                  <c:v>-2.2258099997998215E-2</c:v>
                </c:pt>
                <c:pt idx="22">
                  <c:v>-1.6958000051090494E-3</c:v>
                </c:pt>
                <c:pt idx="23">
                  <c:v>1.8082400005368982E-2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F6-4D7E-A477-D5ECCE2A65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F6-4D7E-A477-D5ECCE2A65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F6-4D7E-A477-D5ECCE2A65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F6-4D7E-A477-D5ECCE2A65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-0.2940371846721278</c:v>
                </c:pt>
                <c:pt idx="1">
                  <c:v>-7.7989573998330869E-2</c:v>
                </c:pt>
                <c:pt idx="2">
                  <c:v>-6.7422925127811451E-2</c:v>
                </c:pt>
                <c:pt idx="3">
                  <c:v>-6.3662225442991188E-2</c:v>
                </c:pt>
                <c:pt idx="4">
                  <c:v>-6.3662225442991188E-2</c:v>
                </c:pt>
                <c:pt idx="5">
                  <c:v>-6.3372376394112334E-2</c:v>
                </c:pt>
                <c:pt idx="6">
                  <c:v>-6.2880733703609026E-2</c:v>
                </c:pt>
                <c:pt idx="7">
                  <c:v>-6.2840374975284108E-2</c:v>
                </c:pt>
                <c:pt idx="8">
                  <c:v>-6.2840374975284108E-2</c:v>
                </c:pt>
                <c:pt idx="9">
                  <c:v>-5.9340172536924557E-2</c:v>
                </c:pt>
                <c:pt idx="10">
                  <c:v>-5.8599039525867286E-2</c:v>
                </c:pt>
                <c:pt idx="11">
                  <c:v>-5.810372786006171E-2</c:v>
                </c:pt>
                <c:pt idx="12">
                  <c:v>-5.8063369131736792E-2</c:v>
                </c:pt>
                <c:pt idx="13">
                  <c:v>-5.2556237203039008E-2</c:v>
                </c:pt>
                <c:pt idx="14">
                  <c:v>-4.7452692557590215E-2</c:v>
                </c:pt>
                <c:pt idx="15">
                  <c:v>-4.7449023582287975E-2</c:v>
                </c:pt>
                <c:pt idx="16">
                  <c:v>-4.2385837665164072E-2</c:v>
                </c:pt>
                <c:pt idx="17">
                  <c:v>-4.2165699147028279E-2</c:v>
                </c:pt>
                <c:pt idx="18">
                  <c:v>-3.7718901080684653E-2</c:v>
                </c:pt>
                <c:pt idx="19">
                  <c:v>-2.7005493198074715E-2</c:v>
                </c:pt>
                <c:pt idx="20">
                  <c:v>-1.7590902572466094E-2</c:v>
                </c:pt>
                <c:pt idx="21">
                  <c:v>-1.226355043357924E-2</c:v>
                </c:pt>
                <c:pt idx="22">
                  <c:v>2.7168757255633946E-3</c:v>
                </c:pt>
                <c:pt idx="23">
                  <c:v>4.632080833344987E-3</c:v>
                </c:pt>
                <c:pt idx="24">
                  <c:v>4.712798289994824E-3</c:v>
                </c:pt>
                <c:pt idx="25">
                  <c:v>4.7274741912038398E-3</c:v>
                </c:pt>
                <c:pt idx="26">
                  <c:v>4.7678329195287583E-3</c:v>
                </c:pt>
                <c:pt idx="27">
                  <c:v>4.8081916478536768E-3</c:v>
                </c:pt>
                <c:pt idx="28">
                  <c:v>4.837543450271764E-3</c:v>
                </c:pt>
                <c:pt idx="29">
                  <c:v>4.8485503761785398E-3</c:v>
                </c:pt>
                <c:pt idx="30">
                  <c:v>4.8632262773876112E-3</c:v>
                </c:pt>
                <c:pt idx="31">
                  <c:v>4.8779021785966825E-3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F6-4D7E-A477-D5ECCE2A65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4">
                  <c:v>5.6160599997383542E-2</c:v>
                </c:pt>
                <c:pt idx="25">
                  <c:v>6.4933000001474284E-2</c:v>
                </c:pt>
                <c:pt idx="26">
                  <c:v>7.5842100006411783E-2</c:v>
                </c:pt>
                <c:pt idx="27">
                  <c:v>9.8071200001868419E-2</c:v>
                </c:pt>
                <c:pt idx="28">
                  <c:v>0.11077600000135135</c:v>
                </c:pt>
                <c:pt idx="29">
                  <c:v>0.11728029999358114</c:v>
                </c:pt>
                <c:pt idx="30">
                  <c:v>0.12405269999726443</c:v>
                </c:pt>
                <c:pt idx="31">
                  <c:v>0.13193509999837261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F6-4D7E-A477-D5ECCE2A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82272"/>
        <c:axId val="1"/>
      </c:scatterChart>
      <c:valAx>
        <c:axId val="430182272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8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V CVn - O-C Diagr.</a:t>
            </a:r>
          </a:p>
        </c:rich>
      </c:tx>
      <c:layout>
        <c:manualLayout>
          <c:xMode val="edge"/>
          <c:yMode val="edge"/>
          <c:x val="0.370967741935483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7-4C74-8E5C-F19F2BA144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E7-4C74-8E5C-F19F2BA144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4">
                  <c:v>-4.7275199998694006E-2</c:v>
                </c:pt>
                <c:pt idx="15">
                  <c:v>-4.8337100000935607E-2</c:v>
                </c:pt>
                <c:pt idx="17">
                  <c:v>-4.8773099995742086E-2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E7-4C74-8E5C-F19F2BA144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-9.6481500004301779E-2</c:v>
                </c:pt>
                <c:pt idx="2">
                  <c:v>-6.9583499993314035E-2</c:v>
                </c:pt>
                <c:pt idx="3">
                  <c:v>-6.1700999998720363E-2</c:v>
                </c:pt>
                <c:pt idx="4">
                  <c:v>-6.150099999649683E-2</c:v>
                </c:pt>
                <c:pt idx="5">
                  <c:v>-6.5091100004792679E-2</c:v>
                </c:pt>
                <c:pt idx="6">
                  <c:v>-6.3685700006317347E-2</c:v>
                </c:pt>
                <c:pt idx="7">
                  <c:v>-5.786660000012489E-2</c:v>
                </c:pt>
                <c:pt idx="8">
                  <c:v>-5.756660000042757E-2</c:v>
                </c:pt>
                <c:pt idx="9">
                  <c:v>-4.7619199998734985E-2</c:v>
                </c:pt>
                <c:pt idx="10">
                  <c:v>-5.3122999997867737E-2</c:v>
                </c:pt>
                <c:pt idx="11">
                  <c:v>-5.2979500003857538E-2</c:v>
                </c:pt>
                <c:pt idx="12">
                  <c:v>-5.1160400005755946E-2</c:v>
                </c:pt>
                <c:pt idx="13">
                  <c:v>-5.4872299995622598E-2</c:v>
                </c:pt>
                <c:pt idx="16">
                  <c:v>-4.6809099992970005E-2</c:v>
                </c:pt>
                <c:pt idx="18">
                  <c:v>-3.5995900005218573E-2</c:v>
                </c:pt>
                <c:pt idx="19">
                  <c:v>-2.9043900001852307E-2</c:v>
                </c:pt>
                <c:pt idx="20">
                  <c:v>-2.2679299996525515E-2</c:v>
                </c:pt>
                <c:pt idx="21">
                  <c:v>-2.2258099997998215E-2</c:v>
                </c:pt>
                <c:pt idx="22">
                  <c:v>-1.6958000051090494E-3</c:v>
                </c:pt>
                <c:pt idx="23">
                  <c:v>1.8082400005368982E-2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E7-4C74-8E5C-F19F2BA144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E7-4C74-8E5C-F19F2BA144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E7-4C74-8E5C-F19F2BA144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3.5000000000000001E-3</c:v>
                  </c:pt>
                  <c:pt idx="3">
                    <c:v>0.02</c:v>
                  </c:pt>
                  <c:pt idx="4">
                    <c:v>0</c:v>
                  </c:pt>
                  <c:pt idx="5">
                    <c:v>2E-3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7.0000000000000001E-3</c:v>
                  </c:pt>
                  <c:pt idx="11">
                    <c:v>0.03</c:v>
                  </c:pt>
                  <c:pt idx="12">
                    <c:v>5.0000000000000001E-3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6.9999999999999999E-4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8.9999999999999998E-4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E7-4C74-8E5C-F19F2BA144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29442.5</c:v>
                </c:pt>
                <c:pt idx="2">
                  <c:v>30882.5</c:v>
                </c:pt>
                <c:pt idx="3">
                  <c:v>31395</c:v>
                </c:pt>
                <c:pt idx="4">
                  <c:v>31395</c:v>
                </c:pt>
                <c:pt idx="5">
                  <c:v>31434.5</c:v>
                </c:pt>
                <c:pt idx="6">
                  <c:v>31501.5</c:v>
                </c:pt>
                <c:pt idx="7">
                  <c:v>31507</c:v>
                </c:pt>
                <c:pt idx="8">
                  <c:v>31507</c:v>
                </c:pt>
                <c:pt idx="9">
                  <c:v>31984</c:v>
                </c:pt>
                <c:pt idx="10">
                  <c:v>32085</c:v>
                </c:pt>
                <c:pt idx="11">
                  <c:v>32152.5</c:v>
                </c:pt>
                <c:pt idx="12">
                  <c:v>32158</c:v>
                </c:pt>
                <c:pt idx="13">
                  <c:v>32908.5</c:v>
                </c:pt>
                <c:pt idx="14">
                  <c:v>33604</c:v>
                </c:pt>
                <c:pt idx="15">
                  <c:v>33604.5</c:v>
                </c:pt>
                <c:pt idx="16">
                  <c:v>34294.5</c:v>
                </c:pt>
                <c:pt idx="17">
                  <c:v>34324.5</c:v>
                </c:pt>
                <c:pt idx="18">
                  <c:v>34930.5</c:v>
                </c:pt>
                <c:pt idx="19">
                  <c:v>36390.5</c:v>
                </c:pt>
                <c:pt idx="20">
                  <c:v>37673.5</c:v>
                </c:pt>
                <c:pt idx="21">
                  <c:v>38399.5</c:v>
                </c:pt>
                <c:pt idx="22">
                  <c:v>40441</c:v>
                </c:pt>
                <c:pt idx="23">
                  <c:v>40702</c:v>
                </c:pt>
                <c:pt idx="24">
                  <c:v>40713</c:v>
                </c:pt>
                <c:pt idx="25">
                  <c:v>40715</c:v>
                </c:pt>
                <c:pt idx="26">
                  <c:v>40720.5</c:v>
                </c:pt>
                <c:pt idx="27">
                  <c:v>40726</c:v>
                </c:pt>
                <c:pt idx="28">
                  <c:v>40730</c:v>
                </c:pt>
                <c:pt idx="29">
                  <c:v>40731.5</c:v>
                </c:pt>
                <c:pt idx="30">
                  <c:v>40733.5</c:v>
                </c:pt>
                <c:pt idx="31">
                  <c:v>40735.5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-0.2940371846721278</c:v>
                </c:pt>
                <c:pt idx="1">
                  <c:v>-7.7989573998330869E-2</c:v>
                </c:pt>
                <c:pt idx="2">
                  <c:v>-6.7422925127811451E-2</c:v>
                </c:pt>
                <c:pt idx="3">
                  <c:v>-6.3662225442991188E-2</c:v>
                </c:pt>
                <c:pt idx="4">
                  <c:v>-6.3662225442991188E-2</c:v>
                </c:pt>
                <c:pt idx="5">
                  <c:v>-6.3372376394112334E-2</c:v>
                </c:pt>
                <c:pt idx="6">
                  <c:v>-6.2880733703609026E-2</c:v>
                </c:pt>
                <c:pt idx="7">
                  <c:v>-6.2840374975284108E-2</c:v>
                </c:pt>
                <c:pt idx="8">
                  <c:v>-6.2840374975284108E-2</c:v>
                </c:pt>
                <c:pt idx="9">
                  <c:v>-5.9340172536924557E-2</c:v>
                </c:pt>
                <c:pt idx="10">
                  <c:v>-5.8599039525867286E-2</c:v>
                </c:pt>
                <c:pt idx="11">
                  <c:v>-5.810372786006171E-2</c:v>
                </c:pt>
                <c:pt idx="12">
                  <c:v>-5.8063369131736792E-2</c:v>
                </c:pt>
                <c:pt idx="13">
                  <c:v>-5.2556237203039008E-2</c:v>
                </c:pt>
                <c:pt idx="14">
                  <c:v>-4.7452692557590215E-2</c:v>
                </c:pt>
                <c:pt idx="15">
                  <c:v>-4.7449023582287975E-2</c:v>
                </c:pt>
                <c:pt idx="16">
                  <c:v>-4.2385837665164072E-2</c:v>
                </c:pt>
                <c:pt idx="17">
                  <c:v>-4.2165699147028279E-2</c:v>
                </c:pt>
                <c:pt idx="18">
                  <c:v>-3.7718901080684653E-2</c:v>
                </c:pt>
                <c:pt idx="19">
                  <c:v>-2.7005493198074715E-2</c:v>
                </c:pt>
                <c:pt idx="20">
                  <c:v>-1.7590902572466094E-2</c:v>
                </c:pt>
                <c:pt idx="21">
                  <c:v>-1.226355043357924E-2</c:v>
                </c:pt>
                <c:pt idx="22">
                  <c:v>2.7168757255633946E-3</c:v>
                </c:pt>
                <c:pt idx="23">
                  <c:v>4.632080833344987E-3</c:v>
                </c:pt>
                <c:pt idx="24">
                  <c:v>4.712798289994824E-3</c:v>
                </c:pt>
                <c:pt idx="25">
                  <c:v>4.7274741912038398E-3</c:v>
                </c:pt>
                <c:pt idx="26">
                  <c:v>4.7678329195287583E-3</c:v>
                </c:pt>
                <c:pt idx="27">
                  <c:v>4.8081916478536768E-3</c:v>
                </c:pt>
                <c:pt idx="28">
                  <c:v>4.837543450271764E-3</c:v>
                </c:pt>
                <c:pt idx="29">
                  <c:v>4.8485503761785398E-3</c:v>
                </c:pt>
                <c:pt idx="30">
                  <c:v>4.8632262773876112E-3</c:v>
                </c:pt>
                <c:pt idx="31">
                  <c:v>4.8779021785966825E-3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E7-4C74-8E5C-F19F2BA14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86592"/>
        <c:axId val="1"/>
      </c:scatterChart>
      <c:valAx>
        <c:axId val="4301865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8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D4E4100-9508-577B-E963-B9A917CA6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26</xdr:col>
      <xdr:colOff>647700</xdr:colOff>
      <xdr:row>18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755AE40-9C10-D0E6-ABAB-F0FEE39B6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403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403" TargetMode="External"/><Relationship Id="rId6" Type="http://schemas.openxmlformats.org/officeDocument/2006/relationships/hyperlink" Target="http://www.konkoly.hu/cgi-bin/IBVS?5403" TargetMode="External"/><Relationship Id="rId11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403" TargetMode="External"/><Relationship Id="rId10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www.konkoly.hu/cgi-bin/IBVS?5403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6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x14ac:dyDescent="0.2">
      <c r="A2" t="s">
        <v>25</v>
      </c>
      <c r="B2" s="10" t="s">
        <v>31</v>
      </c>
    </row>
    <row r="4" spans="1:6" ht="14.25" thickTop="1" thickBot="1" x14ac:dyDescent="0.25">
      <c r="A4" s="6" t="s">
        <v>1</v>
      </c>
      <c r="C4" s="3">
        <v>35550.28</v>
      </c>
      <c r="D4" s="4">
        <v>0.53312380000000004</v>
      </c>
      <c r="E4" t="s">
        <v>31</v>
      </c>
    </row>
    <row r="5" spans="1:6" ht="13.5" thickTop="1" x14ac:dyDescent="0.2">
      <c r="A5" s="14" t="s">
        <v>40</v>
      </c>
      <c r="B5" s="15"/>
      <c r="C5" s="16">
        <v>-9.5</v>
      </c>
      <c r="D5" s="15" t="s">
        <v>41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35550.28</v>
      </c>
    </row>
    <row r="8" spans="1:6" x14ac:dyDescent="0.2">
      <c r="A8" t="s">
        <v>4</v>
      </c>
      <c r="C8">
        <f>+D4</f>
        <v>0.53312380000000004</v>
      </c>
    </row>
    <row r="9" spans="1:6" x14ac:dyDescent="0.2">
      <c r="A9" s="27" t="s">
        <v>45</v>
      </c>
      <c r="B9" s="28">
        <v>21</v>
      </c>
      <c r="C9" s="19" t="str">
        <f>"F"&amp;B9</f>
        <v>F21</v>
      </c>
      <c r="D9" s="9" t="str">
        <f>"G"&amp;B9</f>
        <v>G21</v>
      </c>
    </row>
    <row r="10" spans="1:6" ht="13.5" thickBot="1" x14ac:dyDescent="0.25">
      <c r="A10" s="15"/>
      <c r="B10" s="15"/>
      <c r="C10" s="5" t="s">
        <v>21</v>
      </c>
      <c r="D10" s="5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INTERCEPT(INDIRECT($D$9):G991,INDIRECT($C$9):F991)</f>
        <v>-0.2940371846721278</v>
      </c>
      <c r="D11" s="18"/>
      <c r="E11" s="15"/>
    </row>
    <row r="12" spans="1:6" x14ac:dyDescent="0.2">
      <c r="A12" s="15" t="s">
        <v>18</v>
      </c>
      <c r="B12" s="15"/>
      <c r="C12" s="17">
        <f ca="1">SLOPE(INDIRECT($D$9):G991,INDIRECT($C$9):F991)</f>
        <v>7.3379506045273651E-6</v>
      </c>
      <c r="D12" s="18"/>
      <c r="E12" s="15"/>
    </row>
    <row r="13" spans="1:6" x14ac:dyDescent="0.2">
      <c r="A13" s="15" t="s">
        <v>20</v>
      </c>
      <c r="B13" s="15"/>
      <c r="C13" s="18" t="s">
        <v>15</v>
      </c>
    </row>
    <row r="14" spans="1:6" x14ac:dyDescent="0.2">
      <c r="A14" s="15"/>
      <c r="B14" s="15"/>
      <c r="C14" s="15"/>
    </row>
    <row r="15" spans="1:6" x14ac:dyDescent="0.2">
      <c r="A15" s="20" t="s">
        <v>19</v>
      </c>
      <c r="B15" s="15"/>
      <c r="C15" s="21">
        <f ca="1">(C7+C11)+(C8+C12)*INT(MAX(F21:F3532))</f>
        <v>57267.082867233199</v>
      </c>
      <c r="E15" s="22" t="s">
        <v>46</v>
      </c>
      <c r="F15" s="16">
        <v>1</v>
      </c>
    </row>
    <row r="16" spans="1:6" x14ac:dyDescent="0.2">
      <c r="A16" s="23" t="s">
        <v>5</v>
      </c>
      <c r="B16" s="15"/>
      <c r="C16" s="12">
        <f ca="1">+C8+C12</f>
        <v>0.53313113795060452</v>
      </c>
      <c r="E16" s="22" t="s">
        <v>42</v>
      </c>
      <c r="F16" s="11">
        <f ca="1">NOW()+15018.5+$C$5/24</f>
        <v>60339.762585185184</v>
      </c>
    </row>
    <row r="17" spans="1:21" ht="13.5" thickBot="1" x14ac:dyDescent="0.25">
      <c r="A17" s="22" t="s">
        <v>35</v>
      </c>
      <c r="B17" s="15"/>
      <c r="C17" s="15">
        <f>COUNT(C21:C2190)</f>
        <v>32</v>
      </c>
      <c r="E17" s="22" t="s">
        <v>47</v>
      </c>
      <c r="F17" s="11">
        <f ca="1">ROUND(2*(F16-$C$7)/$C$8,0)/2+F15</f>
        <v>46499.5</v>
      </c>
    </row>
    <row r="18" spans="1:21" ht="14.25" thickTop="1" thickBot="1" x14ac:dyDescent="0.25">
      <c r="A18" s="23" t="s">
        <v>6</v>
      </c>
      <c r="B18" s="15"/>
      <c r="C18" s="25">
        <f ca="1">+C15</f>
        <v>57267.082867233199</v>
      </c>
      <c r="D18" s="26">
        <f ca="1">+C16</f>
        <v>0.53313113795060452</v>
      </c>
      <c r="E18" s="22" t="s">
        <v>43</v>
      </c>
      <c r="F18" s="9">
        <f ca="1">ROUND(2*(F16-$C$15)/$C$16,0)/2+F15</f>
        <v>5764.5</v>
      </c>
    </row>
    <row r="19" spans="1:21" ht="13.5" thickTop="1" x14ac:dyDescent="0.2">
      <c r="E19" s="22" t="s">
        <v>44</v>
      </c>
      <c r="F19" s="24">
        <f ca="1">+$C$15+$C$16*F18-15018.5-$C$5/24</f>
        <v>45322.213145282796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58</v>
      </c>
      <c r="I20" s="8" t="s">
        <v>61</v>
      </c>
      <c r="J20" s="8" t="s">
        <v>55</v>
      </c>
      <c r="K20" s="8" t="s">
        <v>53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62" t="s">
        <v>0</v>
      </c>
    </row>
    <row r="21" spans="1:21" x14ac:dyDescent="0.2">
      <c r="A21" t="s">
        <v>13</v>
      </c>
      <c r="C21" s="13">
        <f>+C4</f>
        <v>35550.28</v>
      </c>
      <c r="D21" s="13" t="s">
        <v>15</v>
      </c>
      <c r="E21">
        <f t="shared" ref="E21:E42" si="0">+(C21-C$7)/C$8</f>
        <v>0</v>
      </c>
      <c r="F21">
        <f t="shared" ref="F21:F52" si="1">ROUND(2*E21,0)/2</f>
        <v>0</v>
      </c>
      <c r="H21" s="9">
        <v>0</v>
      </c>
      <c r="O21">
        <f t="shared" ref="O21:O42" ca="1" si="2">+C$11+C$12*$F21</f>
        <v>-0.2940371846721278</v>
      </c>
      <c r="Q21" s="2">
        <f t="shared" ref="Q21:Q42" si="3">+C21-15018.5</f>
        <v>20531.78</v>
      </c>
    </row>
    <row r="22" spans="1:21" x14ac:dyDescent="0.2">
      <c r="A22" s="29" t="s">
        <v>33</v>
      </c>
      <c r="B22" s="30" t="s">
        <v>30</v>
      </c>
      <c r="C22" s="31">
        <v>51246.680999999997</v>
      </c>
      <c r="D22" s="32">
        <v>4.0000000000000001E-3</v>
      </c>
      <c r="E22">
        <f t="shared" si="0"/>
        <v>29442.319026087367</v>
      </c>
      <c r="F22">
        <f t="shared" si="1"/>
        <v>29442.5</v>
      </c>
      <c r="G22">
        <f t="shared" ref="G22:G42" si="4">+C22-(C$7+F22*C$8)</f>
        <v>-9.6481500004301779E-2</v>
      </c>
      <c r="K22">
        <f t="shared" ref="K22:K34" si="5">+G22</f>
        <v>-9.6481500004301779E-2</v>
      </c>
      <c r="O22">
        <f t="shared" ca="1" si="2"/>
        <v>-7.7989573998330869E-2</v>
      </c>
      <c r="Q22" s="2">
        <f t="shared" si="3"/>
        <v>36228.180999999997</v>
      </c>
    </row>
    <row r="23" spans="1:21" x14ac:dyDescent="0.2">
      <c r="A23" s="33" t="s">
        <v>38</v>
      </c>
      <c r="B23" s="34" t="s">
        <v>30</v>
      </c>
      <c r="C23" s="33">
        <v>52014.406170000002</v>
      </c>
      <c r="D23" s="33">
        <v>3.5000000000000001E-3</v>
      </c>
      <c r="E23">
        <f t="shared" si="0"/>
        <v>30882.369479659326</v>
      </c>
      <c r="F23">
        <f t="shared" si="1"/>
        <v>30882.5</v>
      </c>
      <c r="G23">
        <f t="shared" si="4"/>
        <v>-6.9583499993314035E-2</v>
      </c>
      <c r="K23">
        <f t="shared" si="5"/>
        <v>-6.9583499993314035E-2</v>
      </c>
      <c r="O23">
        <f t="shared" ca="1" si="2"/>
        <v>-6.7422925127811451E-2</v>
      </c>
      <c r="Q23" s="2">
        <f t="shared" si="3"/>
        <v>36995.906170000002</v>
      </c>
    </row>
    <row r="24" spans="1:21" x14ac:dyDescent="0.2">
      <c r="A24" s="29" t="s">
        <v>33</v>
      </c>
      <c r="B24" s="30" t="s">
        <v>32</v>
      </c>
      <c r="C24" s="31">
        <v>52287.64</v>
      </c>
      <c r="D24" s="32">
        <v>0.02</v>
      </c>
      <c r="E24">
        <f t="shared" si="0"/>
        <v>31394.884265155673</v>
      </c>
      <c r="F24">
        <f t="shared" si="1"/>
        <v>31395</v>
      </c>
      <c r="G24">
        <f t="shared" si="4"/>
        <v>-6.1700999998720363E-2</v>
      </c>
      <c r="K24">
        <f t="shared" si="5"/>
        <v>-6.1700999998720363E-2</v>
      </c>
      <c r="O24">
        <f t="shared" ca="1" si="2"/>
        <v>-6.3662225442991188E-2</v>
      </c>
      <c r="Q24" s="2">
        <f t="shared" si="3"/>
        <v>37269.14</v>
      </c>
    </row>
    <row r="25" spans="1:21" x14ac:dyDescent="0.2">
      <c r="A25" s="54" t="s">
        <v>80</v>
      </c>
      <c r="B25" s="56" t="s">
        <v>32</v>
      </c>
      <c r="C25" s="55">
        <v>52287.640200000002</v>
      </c>
      <c r="D25" s="55" t="s">
        <v>61</v>
      </c>
      <c r="E25">
        <f t="shared" si="0"/>
        <v>31394.884640303062</v>
      </c>
      <c r="F25">
        <f t="shared" si="1"/>
        <v>31395</v>
      </c>
      <c r="G25">
        <f t="shared" si="4"/>
        <v>-6.150099999649683E-2</v>
      </c>
      <c r="K25">
        <f t="shared" si="5"/>
        <v>-6.150099999649683E-2</v>
      </c>
      <c r="O25">
        <f t="shared" ca="1" si="2"/>
        <v>-6.3662225442991188E-2</v>
      </c>
      <c r="Q25" s="2">
        <f t="shared" si="3"/>
        <v>37269.140200000002</v>
      </c>
    </row>
    <row r="26" spans="1:21" ht="13.7" customHeight="1" x14ac:dyDescent="0.2">
      <c r="A26" s="29" t="s">
        <v>33</v>
      </c>
      <c r="B26" s="30" t="s">
        <v>30</v>
      </c>
      <c r="C26" s="31">
        <v>52308.695</v>
      </c>
      <c r="D26" s="32">
        <v>2E-3</v>
      </c>
      <c r="E26">
        <f t="shared" si="0"/>
        <v>31434.377906219906</v>
      </c>
      <c r="F26">
        <f t="shared" si="1"/>
        <v>31434.5</v>
      </c>
      <c r="G26">
        <f t="shared" si="4"/>
        <v>-6.5091100004792679E-2</v>
      </c>
      <c r="K26">
        <f t="shared" si="5"/>
        <v>-6.5091100004792679E-2</v>
      </c>
      <c r="O26">
        <f t="shared" ca="1" si="2"/>
        <v>-6.3372376394112334E-2</v>
      </c>
      <c r="Q26" s="2">
        <f t="shared" si="3"/>
        <v>37290.195</v>
      </c>
    </row>
    <row r="27" spans="1:21" ht="13.7" customHeight="1" x14ac:dyDescent="0.2">
      <c r="A27" s="29" t="s">
        <v>33</v>
      </c>
      <c r="B27" s="30" t="s">
        <v>30</v>
      </c>
      <c r="C27" s="31">
        <v>52344.415699999998</v>
      </c>
      <c r="D27" s="32">
        <v>8.0000000000000004E-4</v>
      </c>
      <c r="E27">
        <f t="shared" si="0"/>
        <v>31501.380542380582</v>
      </c>
      <c r="F27">
        <f t="shared" si="1"/>
        <v>31501.5</v>
      </c>
      <c r="G27">
        <f t="shared" si="4"/>
        <v>-6.3685700006317347E-2</v>
      </c>
      <c r="K27">
        <f t="shared" si="5"/>
        <v>-6.3685700006317347E-2</v>
      </c>
      <c r="O27">
        <f t="shared" ca="1" si="2"/>
        <v>-6.2880733703609026E-2</v>
      </c>
      <c r="Q27" s="2">
        <f t="shared" si="3"/>
        <v>37325.915699999998</v>
      </c>
    </row>
    <row r="28" spans="1:21" x14ac:dyDescent="0.2">
      <c r="A28" s="54" t="s">
        <v>80</v>
      </c>
      <c r="B28" s="56" t="s">
        <v>32</v>
      </c>
      <c r="C28" s="55">
        <v>52347.3537</v>
      </c>
      <c r="D28" s="55" t="s">
        <v>61</v>
      </c>
      <c r="E28">
        <f t="shared" si="0"/>
        <v>31506.891457481357</v>
      </c>
      <c r="F28">
        <f t="shared" si="1"/>
        <v>31507</v>
      </c>
      <c r="G28">
        <f t="shared" si="4"/>
        <v>-5.786660000012489E-2</v>
      </c>
      <c r="K28">
        <f t="shared" si="5"/>
        <v>-5.786660000012489E-2</v>
      </c>
      <c r="O28">
        <f t="shared" ca="1" si="2"/>
        <v>-6.2840374975284108E-2</v>
      </c>
      <c r="Q28" s="2">
        <f t="shared" si="3"/>
        <v>37328.8537</v>
      </c>
    </row>
    <row r="29" spans="1:21" x14ac:dyDescent="0.2">
      <c r="A29" s="29" t="s">
        <v>33</v>
      </c>
      <c r="B29" s="30" t="s">
        <v>32</v>
      </c>
      <c r="C29" s="31">
        <v>52347.353999999999</v>
      </c>
      <c r="D29" s="32">
        <v>3.0000000000000001E-3</v>
      </c>
      <c r="E29">
        <f t="shared" si="0"/>
        <v>31506.892020202435</v>
      </c>
      <c r="F29">
        <f t="shared" si="1"/>
        <v>31507</v>
      </c>
      <c r="G29">
        <f t="shared" si="4"/>
        <v>-5.756660000042757E-2</v>
      </c>
      <c r="K29">
        <f t="shared" si="5"/>
        <v>-5.756660000042757E-2</v>
      </c>
      <c r="O29">
        <f t="shared" ca="1" si="2"/>
        <v>-6.2840374975284108E-2</v>
      </c>
      <c r="Q29" s="2">
        <f t="shared" si="3"/>
        <v>37328.853999999999</v>
      </c>
    </row>
    <row r="30" spans="1:21" x14ac:dyDescent="0.2">
      <c r="A30" s="29" t="s">
        <v>33</v>
      </c>
      <c r="B30" s="30" t="s">
        <v>32</v>
      </c>
      <c r="C30" s="31">
        <v>52601.663999999997</v>
      </c>
      <c r="D30" s="32">
        <v>3.0000000000000001E-3</v>
      </c>
      <c r="E30">
        <f t="shared" si="0"/>
        <v>31983.910678907971</v>
      </c>
      <c r="F30">
        <f t="shared" si="1"/>
        <v>31984</v>
      </c>
      <c r="G30">
        <f t="shared" si="4"/>
        <v>-4.7619199998734985E-2</v>
      </c>
      <c r="K30">
        <f t="shared" si="5"/>
        <v>-4.7619199998734985E-2</v>
      </c>
      <c r="O30">
        <f t="shared" ca="1" si="2"/>
        <v>-5.9340172536924557E-2</v>
      </c>
      <c r="Q30" s="2">
        <f t="shared" si="3"/>
        <v>37583.163999999997</v>
      </c>
    </row>
    <row r="31" spans="1:21" x14ac:dyDescent="0.2">
      <c r="A31" s="29" t="s">
        <v>33</v>
      </c>
      <c r="B31" s="30" t="s">
        <v>32</v>
      </c>
      <c r="C31" s="31">
        <v>52655.504000000001</v>
      </c>
      <c r="D31" s="32">
        <v>7.0000000000000001E-3</v>
      </c>
      <c r="E31">
        <f t="shared" si="0"/>
        <v>32084.900355227062</v>
      </c>
      <c r="F31">
        <f t="shared" si="1"/>
        <v>32085</v>
      </c>
      <c r="G31">
        <f t="shared" si="4"/>
        <v>-5.3122999997867737E-2</v>
      </c>
      <c r="K31">
        <f t="shared" si="5"/>
        <v>-5.3122999997867737E-2</v>
      </c>
      <c r="O31">
        <f t="shared" ca="1" si="2"/>
        <v>-5.8599039525867286E-2</v>
      </c>
      <c r="Q31" s="2">
        <f t="shared" si="3"/>
        <v>37637.004000000001</v>
      </c>
    </row>
    <row r="32" spans="1:21" x14ac:dyDescent="0.2">
      <c r="A32" s="29" t="s">
        <v>33</v>
      </c>
      <c r="B32" s="30" t="s">
        <v>30</v>
      </c>
      <c r="C32" s="31">
        <v>52691.49</v>
      </c>
      <c r="D32" s="32">
        <v>0.03</v>
      </c>
      <c r="E32">
        <f t="shared" si="0"/>
        <v>32152.400624395304</v>
      </c>
      <c r="F32">
        <f t="shared" si="1"/>
        <v>32152.5</v>
      </c>
      <c r="G32">
        <f t="shared" si="4"/>
        <v>-5.2979500003857538E-2</v>
      </c>
      <c r="K32">
        <f t="shared" si="5"/>
        <v>-5.2979500003857538E-2</v>
      </c>
      <c r="O32">
        <f t="shared" ca="1" si="2"/>
        <v>-5.810372786006171E-2</v>
      </c>
      <c r="Q32" s="2">
        <f t="shared" si="3"/>
        <v>37672.99</v>
      </c>
    </row>
    <row r="33" spans="1:21" x14ac:dyDescent="0.2">
      <c r="A33" s="29" t="s">
        <v>33</v>
      </c>
      <c r="B33" s="30" t="s">
        <v>32</v>
      </c>
      <c r="C33" s="31">
        <v>52694.423999999999</v>
      </c>
      <c r="D33" s="32">
        <v>5.0000000000000001E-3</v>
      </c>
      <c r="E33">
        <f t="shared" si="0"/>
        <v>32157.904036548356</v>
      </c>
      <c r="F33">
        <f t="shared" si="1"/>
        <v>32158</v>
      </c>
      <c r="G33">
        <f t="shared" si="4"/>
        <v>-5.1160400005755946E-2</v>
      </c>
      <c r="K33">
        <f t="shared" si="5"/>
        <v>-5.1160400005755946E-2</v>
      </c>
      <c r="O33">
        <f t="shared" ca="1" si="2"/>
        <v>-5.8063369131736792E-2</v>
      </c>
      <c r="Q33" s="2">
        <f t="shared" si="3"/>
        <v>37675.923999999999</v>
      </c>
    </row>
    <row r="34" spans="1:21" x14ac:dyDescent="0.2">
      <c r="A34" s="35" t="s">
        <v>29</v>
      </c>
      <c r="B34" s="36" t="s">
        <v>30</v>
      </c>
      <c r="C34" s="35">
        <v>53094.529699999999</v>
      </c>
      <c r="D34" s="37">
        <v>1.2999999999999999E-3</v>
      </c>
      <c r="E34">
        <f t="shared" si="0"/>
        <v>32908.397074000444</v>
      </c>
      <c r="F34">
        <f t="shared" si="1"/>
        <v>32908.5</v>
      </c>
      <c r="G34">
        <f t="shared" si="4"/>
        <v>-5.4872299995622598E-2</v>
      </c>
      <c r="K34">
        <f t="shared" si="5"/>
        <v>-5.4872299995622598E-2</v>
      </c>
      <c r="O34">
        <f t="shared" ca="1" si="2"/>
        <v>-5.2556237203039008E-2</v>
      </c>
      <c r="Q34" s="2">
        <f t="shared" si="3"/>
        <v>38076.029699999999</v>
      </c>
    </row>
    <row r="35" spans="1:21" x14ac:dyDescent="0.2">
      <c r="A35" s="38" t="s">
        <v>34</v>
      </c>
      <c r="B35" s="30"/>
      <c r="C35" s="32">
        <v>53465.3249</v>
      </c>
      <c r="D35" s="32">
        <v>1.1000000000000001E-3</v>
      </c>
      <c r="E35">
        <f t="shared" si="0"/>
        <v>33603.911324161476</v>
      </c>
      <c r="F35">
        <f t="shared" si="1"/>
        <v>33604</v>
      </c>
      <c r="G35">
        <f t="shared" si="4"/>
        <v>-4.7275199998694006E-2</v>
      </c>
      <c r="J35">
        <f>+G35</f>
        <v>-4.7275199998694006E-2</v>
      </c>
      <c r="O35">
        <f t="shared" ca="1" si="2"/>
        <v>-4.7452692557590215E-2</v>
      </c>
      <c r="Q35" s="2">
        <f t="shared" si="3"/>
        <v>38446.8249</v>
      </c>
    </row>
    <row r="36" spans="1:21" x14ac:dyDescent="0.2">
      <c r="A36" s="38" t="s">
        <v>34</v>
      </c>
      <c r="B36" s="30"/>
      <c r="C36" s="32">
        <v>53465.590400000001</v>
      </c>
      <c r="D36" s="32">
        <v>1E-3</v>
      </c>
      <c r="E36">
        <f t="shared" si="0"/>
        <v>33604.409332316434</v>
      </c>
      <c r="F36">
        <f t="shared" si="1"/>
        <v>33604.5</v>
      </c>
      <c r="G36">
        <f t="shared" si="4"/>
        <v>-4.8337100000935607E-2</v>
      </c>
      <c r="J36">
        <f>+G36</f>
        <v>-4.8337100000935607E-2</v>
      </c>
      <c r="O36">
        <f t="shared" ca="1" si="2"/>
        <v>-4.7449023582287975E-2</v>
      </c>
      <c r="Q36" s="2">
        <f t="shared" si="3"/>
        <v>38447.090400000001</v>
      </c>
    </row>
    <row r="37" spans="1:21" x14ac:dyDescent="0.2">
      <c r="A37" s="39" t="s">
        <v>39</v>
      </c>
      <c r="B37" s="40" t="s">
        <v>30</v>
      </c>
      <c r="C37" s="32">
        <v>53833.447350000002</v>
      </c>
      <c r="D37" s="32">
        <v>4.0000000000000002E-4</v>
      </c>
      <c r="E37">
        <f t="shared" si="0"/>
        <v>34294.412198442464</v>
      </c>
      <c r="F37">
        <f t="shared" si="1"/>
        <v>34294.5</v>
      </c>
      <c r="G37">
        <f t="shared" si="4"/>
        <v>-4.6809099992970005E-2</v>
      </c>
      <c r="K37">
        <f>+G37</f>
        <v>-4.6809099992970005E-2</v>
      </c>
      <c r="O37">
        <f t="shared" ca="1" si="2"/>
        <v>-4.2385837665164072E-2</v>
      </c>
      <c r="Q37" s="2">
        <f t="shared" si="3"/>
        <v>38814.947350000002</v>
      </c>
    </row>
    <row r="38" spans="1:21" x14ac:dyDescent="0.2">
      <c r="A38" s="39" t="s">
        <v>36</v>
      </c>
      <c r="B38" s="40" t="s">
        <v>30</v>
      </c>
      <c r="C38" s="32">
        <v>53849.439100000003</v>
      </c>
      <c r="D38" s="32">
        <v>1E-3</v>
      </c>
      <c r="E38">
        <f t="shared" si="0"/>
        <v>34324.408514495139</v>
      </c>
      <c r="F38">
        <f t="shared" si="1"/>
        <v>34324.5</v>
      </c>
      <c r="G38">
        <f t="shared" si="4"/>
        <v>-4.8773099995742086E-2</v>
      </c>
      <c r="J38">
        <f>+G38</f>
        <v>-4.8773099995742086E-2</v>
      </c>
      <c r="O38">
        <f t="shared" ca="1" si="2"/>
        <v>-4.2165699147028279E-2</v>
      </c>
      <c r="Q38" s="2">
        <f t="shared" si="3"/>
        <v>38830.939100000003</v>
      </c>
    </row>
    <row r="39" spans="1:21" x14ac:dyDescent="0.2">
      <c r="A39" s="39" t="s">
        <v>39</v>
      </c>
      <c r="B39" s="40" t="s">
        <v>30</v>
      </c>
      <c r="C39" s="32">
        <v>54172.524899999997</v>
      </c>
      <c r="D39" s="32">
        <v>4.0000000000000002E-4</v>
      </c>
      <c r="E39">
        <f t="shared" si="0"/>
        <v>34930.432481161028</v>
      </c>
      <c r="F39">
        <f t="shared" si="1"/>
        <v>34930.5</v>
      </c>
      <c r="G39">
        <f t="shared" si="4"/>
        <v>-3.5995900005218573E-2</v>
      </c>
      <c r="K39">
        <f t="shared" ref="K39:K44" si="6">+G39</f>
        <v>-3.5995900005218573E-2</v>
      </c>
      <c r="O39">
        <f t="shared" ca="1" si="2"/>
        <v>-3.7718901080684653E-2</v>
      </c>
      <c r="Q39" s="2">
        <f t="shared" si="3"/>
        <v>39154.024899999997</v>
      </c>
    </row>
    <row r="40" spans="1:21" x14ac:dyDescent="0.2">
      <c r="A40" s="32" t="s">
        <v>37</v>
      </c>
      <c r="B40" s="40" t="s">
        <v>30</v>
      </c>
      <c r="C40" s="32">
        <v>54950.892599999999</v>
      </c>
      <c r="D40" s="32">
        <v>4.0000000000000002E-4</v>
      </c>
      <c r="E40">
        <f t="shared" si="0"/>
        <v>36390.445521284171</v>
      </c>
      <c r="F40">
        <f t="shared" si="1"/>
        <v>36390.5</v>
      </c>
      <c r="G40">
        <f t="shared" si="4"/>
        <v>-2.9043900001852307E-2</v>
      </c>
      <c r="K40">
        <f t="shared" si="6"/>
        <v>-2.9043900001852307E-2</v>
      </c>
      <c r="O40">
        <f t="shared" ca="1" si="2"/>
        <v>-2.7005493198074715E-2</v>
      </c>
      <c r="Q40" s="2">
        <f t="shared" si="3"/>
        <v>39932.392599999999</v>
      </c>
    </row>
    <row r="41" spans="1:21" x14ac:dyDescent="0.2">
      <c r="A41" s="35" t="s">
        <v>48</v>
      </c>
      <c r="B41" s="36" t="s">
        <v>30</v>
      </c>
      <c r="C41" s="35">
        <v>55634.896800000002</v>
      </c>
      <c r="D41" s="35">
        <v>8.0000000000000004E-4</v>
      </c>
      <c r="E41">
        <f t="shared" si="0"/>
        <v>37673.457459599442</v>
      </c>
      <c r="F41">
        <f t="shared" si="1"/>
        <v>37673.5</v>
      </c>
      <c r="G41">
        <f t="shared" si="4"/>
        <v>-2.2679299996525515E-2</v>
      </c>
      <c r="K41">
        <f t="shared" si="6"/>
        <v>-2.2679299996525515E-2</v>
      </c>
      <c r="O41">
        <f t="shared" ca="1" si="2"/>
        <v>-1.7590902572466094E-2</v>
      </c>
      <c r="Q41" s="2">
        <f t="shared" si="3"/>
        <v>40616.396800000002</v>
      </c>
    </row>
    <row r="42" spans="1:21" x14ac:dyDescent="0.2">
      <c r="A42" s="57" t="s">
        <v>50</v>
      </c>
      <c r="B42" s="58" t="s">
        <v>30</v>
      </c>
      <c r="C42" s="57">
        <v>56021.945099999997</v>
      </c>
      <c r="D42" s="57">
        <v>1.6999999999999999E-3</v>
      </c>
      <c r="E42">
        <f t="shared" si="0"/>
        <v>38399.45824965983</v>
      </c>
      <c r="F42">
        <f t="shared" si="1"/>
        <v>38399.5</v>
      </c>
      <c r="G42">
        <f t="shared" si="4"/>
        <v>-2.2258099997998215E-2</v>
      </c>
      <c r="K42">
        <f t="shared" si="6"/>
        <v>-2.2258099997998215E-2</v>
      </c>
      <c r="O42">
        <f t="shared" ca="1" si="2"/>
        <v>-1.226355043357924E-2</v>
      </c>
      <c r="Q42" s="2">
        <f t="shared" si="3"/>
        <v>41003.445099999997</v>
      </c>
    </row>
    <row r="43" spans="1:21" x14ac:dyDescent="0.2">
      <c r="A43" s="59" t="s">
        <v>149</v>
      </c>
      <c r="B43" s="60" t="s">
        <v>32</v>
      </c>
      <c r="C43" s="61">
        <v>57110.337899999999</v>
      </c>
      <c r="D43" s="61">
        <v>4.0000000000000002E-4</v>
      </c>
      <c r="E43">
        <f t="shared" ref="E43:E52" si="7">+(C43-C$7)/C$8</f>
        <v>40440.996819125314</v>
      </c>
      <c r="F43">
        <f t="shared" si="1"/>
        <v>40441</v>
      </c>
      <c r="G43">
        <f>+C43-(C$7+F43*C$8)</f>
        <v>-1.6958000051090494E-3</v>
      </c>
      <c r="K43">
        <f t="shared" si="6"/>
        <v>-1.6958000051090494E-3</v>
      </c>
      <c r="O43">
        <f t="shared" ref="O43:O52" ca="1" si="8">+C$11+C$12*$F43</f>
        <v>2.7168757255633946E-3</v>
      </c>
      <c r="Q43" s="2">
        <f t="shared" ref="Q43:Q52" si="9">+C43-15018.5</f>
        <v>42091.837899999999</v>
      </c>
    </row>
    <row r="44" spans="1:21" x14ac:dyDescent="0.2">
      <c r="A44" s="59" t="s">
        <v>149</v>
      </c>
      <c r="B44" s="60" t="s">
        <v>32</v>
      </c>
      <c r="C44" s="61">
        <v>57249.502990000001</v>
      </c>
      <c r="D44" s="61">
        <v>1.1000000000000001E-3</v>
      </c>
      <c r="E44">
        <f t="shared" si="7"/>
        <v>40702.033917825465</v>
      </c>
      <c r="F44">
        <f t="shared" si="1"/>
        <v>40702</v>
      </c>
      <c r="G44">
        <f>+C44-(C$7+F44*C$8)</f>
        <v>1.8082400005368982E-2</v>
      </c>
      <c r="K44">
        <f t="shared" si="6"/>
        <v>1.8082400005368982E-2</v>
      </c>
      <c r="O44">
        <f t="shared" ca="1" si="8"/>
        <v>4.632080833344987E-3</v>
      </c>
      <c r="Q44" s="2">
        <f t="shared" si="9"/>
        <v>42231.002990000001</v>
      </c>
    </row>
    <row r="45" spans="1:21" x14ac:dyDescent="0.2">
      <c r="A45" s="59" t="s">
        <v>149</v>
      </c>
      <c r="B45" s="60" t="s">
        <v>32</v>
      </c>
      <c r="C45" s="61">
        <v>57255.405429999999</v>
      </c>
      <c r="D45" s="61">
        <v>1.1999999999999999E-3</v>
      </c>
      <c r="E45">
        <f t="shared" si="7"/>
        <v>40713.105342511437</v>
      </c>
      <c r="F45">
        <f t="shared" si="1"/>
        <v>40713</v>
      </c>
      <c r="O45">
        <f t="shared" ca="1" si="8"/>
        <v>4.712798289994824E-3</v>
      </c>
      <c r="Q45" s="2">
        <f t="shared" si="9"/>
        <v>42236.905429999999</v>
      </c>
      <c r="U45">
        <f t="shared" ref="U45:U52" si="10">+C45-(C$7+F45*C$8)</f>
        <v>5.6160599997383542E-2</v>
      </c>
    </row>
    <row r="46" spans="1:21" x14ac:dyDescent="0.2">
      <c r="A46" s="59" t="s">
        <v>149</v>
      </c>
      <c r="B46" s="60" t="s">
        <v>32</v>
      </c>
      <c r="C46" s="61">
        <v>57256.480450000003</v>
      </c>
      <c r="D46" s="61">
        <v>6.9999999999999999E-4</v>
      </c>
      <c r="E46">
        <f t="shared" si="7"/>
        <v>40715.121797226093</v>
      </c>
      <c r="F46">
        <f t="shared" si="1"/>
        <v>40715</v>
      </c>
      <c r="O46">
        <f t="shared" ca="1" si="8"/>
        <v>4.7274741912038398E-3</v>
      </c>
      <c r="Q46" s="2">
        <f t="shared" si="9"/>
        <v>42237.980450000003</v>
      </c>
      <c r="U46">
        <f t="shared" si="10"/>
        <v>6.4933000001474284E-2</v>
      </c>
    </row>
    <row r="47" spans="1:21" x14ac:dyDescent="0.2">
      <c r="A47" s="59" t="s">
        <v>149</v>
      </c>
      <c r="B47" s="60" t="s">
        <v>30</v>
      </c>
      <c r="C47" s="61">
        <v>57259.423540000003</v>
      </c>
      <c r="D47" s="61">
        <v>2.0000000000000001E-4</v>
      </c>
      <c r="E47">
        <f t="shared" si="7"/>
        <v>40720.642259827837</v>
      </c>
      <c r="F47">
        <f t="shared" si="1"/>
        <v>40720.5</v>
      </c>
      <c r="O47">
        <f t="shared" ca="1" si="8"/>
        <v>4.7678329195287583E-3</v>
      </c>
      <c r="Q47" s="2">
        <f t="shared" si="9"/>
        <v>42240.923540000003</v>
      </c>
      <c r="U47">
        <f t="shared" si="10"/>
        <v>7.5842100006411783E-2</v>
      </c>
    </row>
    <row r="48" spans="1:21" x14ac:dyDescent="0.2">
      <c r="A48" s="59" t="s">
        <v>149</v>
      </c>
      <c r="B48" s="60" t="s">
        <v>32</v>
      </c>
      <c r="C48" s="61">
        <v>57262.377950000002</v>
      </c>
      <c r="D48" s="61">
        <v>6.9999999999999999E-4</v>
      </c>
      <c r="E48">
        <f t="shared" si="7"/>
        <v>40726.18395577163</v>
      </c>
      <c r="F48">
        <f t="shared" si="1"/>
        <v>40726</v>
      </c>
      <c r="O48">
        <f t="shared" ca="1" si="8"/>
        <v>4.8081916478536768E-3</v>
      </c>
      <c r="Q48" s="2">
        <f t="shared" si="9"/>
        <v>42243.877950000002</v>
      </c>
      <c r="U48">
        <f t="shared" si="10"/>
        <v>9.8071200001868419E-2</v>
      </c>
    </row>
    <row r="49" spans="1:21" x14ac:dyDescent="0.2">
      <c r="A49" s="59" t="s">
        <v>149</v>
      </c>
      <c r="B49" s="60" t="s">
        <v>30</v>
      </c>
      <c r="C49" s="61">
        <v>57264.523150000001</v>
      </c>
      <c r="D49" s="61">
        <v>8.9999999999999998E-4</v>
      </c>
      <c r="E49">
        <f t="shared" si="7"/>
        <v>40730.207786634171</v>
      </c>
      <c r="F49">
        <f t="shared" si="1"/>
        <v>40730</v>
      </c>
      <c r="O49">
        <f t="shared" ca="1" si="8"/>
        <v>4.837543450271764E-3</v>
      </c>
      <c r="Q49" s="2">
        <f t="shared" si="9"/>
        <v>42246.023150000001</v>
      </c>
      <c r="U49">
        <f t="shared" si="10"/>
        <v>0.11077600000135135</v>
      </c>
    </row>
    <row r="50" spans="1:21" x14ac:dyDescent="0.2">
      <c r="A50" s="59" t="s">
        <v>149</v>
      </c>
      <c r="B50" s="60" t="s">
        <v>30</v>
      </c>
      <c r="C50" s="61">
        <v>57265.329339999997</v>
      </c>
      <c r="D50" s="61">
        <v>2.0000000000000001E-4</v>
      </c>
      <c r="E50">
        <f t="shared" si="7"/>
        <v>40731.719986989883</v>
      </c>
      <c r="F50">
        <f t="shared" si="1"/>
        <v>40731.5</v>
      </c>
      <c r="O50">
        <f t="shared" ca="1" si="8"/>
        <v>4.8485503761785398E-3</v>
      </c>
      <c r="Q50" s="2">
        <f t="shared" si="9"/>
        <v>42246.829339999997</v>
      </c>
      <c r="U50">
        <f t="shared" si="10"/>
        <v>0.11728029999358114</v>
      </c>
    </row>
    <row r="51" spans="1:21" x14ac:dyDescent="0.2">
      <c r="A51" s="59" t="s">
        <v>149</v>
      </c>
      <c r="B51" s="60" t="s">
        <v>30</v>
      </c>
      <c r="C51" s="61">
        <v>57266.40236</v>
      </c>
      <c r="D51" s="61">
        <v>2.0000000000000001E-4</v>
      </c>
      <c r="E51">
        <f t="shared" si="7"/>
        <v>40733.732690230674</v>
      </c>
      <c r="F51">
        <f t="shared" si="1"/>
        <v>40733.5</v>
      </c>
      <c r="O51">
        <f t="shared" ca="1" si="8"/>
        <v>4.8632262773876112E-3</v>
      </c>
      <c r="Q51" s="2">
        <f t="shared" si="9"/>
        <v>42247.90236</v>
      </c>
      <c r="U51">
        <f t="shared" si="10"/>
        <v>0.12405269999726443</v>
      </c>
    </row>
    <row r="52" spans="1:21" x14ac:dyDescent="0.2">
      <c r="A52" s="59" t="s">
        <v>149</v>
      </c>
      <c r="B52" s="60" t="s">
        <v>30</v>
      </c>
      <c r="C52" s="61">
        <v>57267.476490000001</v>
      </c>
      <c r="D52" s="61">
        <v>2.9999999999999997E-4</v>
      </c>
      <c r="E52">
        <f t="shared" si="7"/>
        <v>40735.747475539451</v>
      </c>
      <c r="F52">
        <f t="shared" si="1"/>
        <v>40735.5</v>
      </c>
      <c r="O52">
        <f t="shared" ca="1" si="8"/>
        <v>4.8779021785966825E-3</v>
      </c>
      <c r="Q52" s="2">
        <f t="shared" si="9"/>
        <v>42248.976490000001</v>
      </c>
      <c r="U52">
        <f t="shared" si="10"/>
        <v>0.13193509999837261</v>
      </c>
    </row>
    <row r="53" spans="1:21" x14ac:dyDescent="0.2">
      <c r="C53" s="13"/>
      <c r="D53" s="13"/>
    </row>
    <row r="54" spans="1:21" x14ac:dyDescent="0.2">
      <c r="C54" s="13"/>
      <c r="D54" s="13"/>
    </row>
    <row r="55" spans="1:21" x14ac:dyDescent="0.2">
      <c r="C55" s="13"/>
      <c r="D55" s="13"/>
    </row>
    <row r="56" spans="1:21" x14ac:dyDescent="0.2">
      <c r="C56" s="13"/>
      <c r="D56" s="13"/>
    </row>
  </sheetData>
  <phoneticPr fontId="7" type="noConversion"/>
  <hyperlinks>
    <hyperlink ref="H112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1"/>
  <sheetViews>
    <sheetView topLeftCell="A6" workbookViewId="0">
      <selection activeCell="A27" sqref="A27:D29"/>
    </sheetView>
  </sheetViews>
  <sheetFormatPr defaultRowHeight="12.75" x14ac:dyDescent="0.2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1" t="s">
        <v>51</v>
      </c>
      <c r="I1" s="42" t="s">
        <v>52</v>
      </c>
      <c r="J1" s="43" t="s">
        <v>53</v>
      </c>
    </row>
    <row r="2" spans="1:16" x14ac:dyDescent="0.2">
      <c r="I2" s="44" t="s">
        <v>54</v>
      </c>
      <c r="J2" s="45" t="s">
        <v>55</v>
      </c>
    </row>
    <row r="3" spans="1:16" x14ac:dyDescent="0.2">
      <c r="A3" s="46" t="s">
        <v>56</v>
      </c>
      <c r="I3" s="44" t="s">
        <v>57</v>
      </c>
      <c r="J3" s="45" t="s">
        <v>58</v>
      </c>
    </row>
    <row r="4" spans="1:16" x14ac:dyDescent="0.2">
      <c r="I4" s="44" t="s">
        <v>59</v>
      </c>
      <c r="J4" s="45" t="s">
        <v>58</v>
      </c>
    </row>
    <row r="5" spans="1:16" ht="13.5" thickBot="1" x14ac:dyDescent="0.25">
      <c r="I5" s="47" t="s">
        <v>60</v>
      </c>
      <c r="J5" s="48" t="s">
        <v>61</v>
      </c>
    </row>
    <row r="10" spans="1:16" ht="13.5" thickBot="1" x14ac:dyDescent="0.25"/>
    <row r="11" spans="1:16" ht="12.75" customHeight="1" thickBot="1" x14ac:dyDescent="0.25">
      <c r="A11" s="13" t="str">
        <f t="shared" ref="A11:A29" si="0">P11</f>
        <v>IBVS 5403 </v>
      </c>
      <c r="B11" s="18" t="str">
        <f t="shared" ref="B11:B29" si="1">IF(H11=INT(H11),"I","II")</f>
        <v>I</v>
      </c>
      <c r="C11" s="13">
        <f t="shared" ref="C11:C29" si="2">1*G11</f>
        <v>51246.680999999997</v>
      </c>
      <c r="D11" s="15" t="str">
        <f t="shared" ref="D11:D29" si="3">VLOOKUP(F11,I$1:J$5,2,FALSE)</f>
        <v>vis</v>
      </c>
      <c r="E11" s="49">
        <f>VLOOKUP(C11,Active!C$21:E$972,3,FALSE)</f>
        <v>29442.319026087367</v>
      </c>
      <c r="F11" s="18" t="s">
        <v>60</v>
      </c>
      <c r="G11" s="15" t="str">
        <f t="shared" ref="G11:G29" si="4">MID(I11,3,LEN(I11)-3)</f>
        <v>51246.681</v>
      </c>
      <c r="H11" s="13">
        <f t="shared" ref="H11:H29" si="5">1*K11</f>
        <v>-7550</v>
      </c>
      <c r="I11" s="50" t="s">
        <v>62</v>
      </c>
      <c r="J11" s="51" t="s">
        <v>63</v>
      </c>
      <c r="K11" s="50">
        <v>-7550</v>
      </c>
      <c r="L11" s="50" t="s">
        <v>64</v>
      </c>
      <c r="M11" s="51" t="s">
        <v>65</v>
      </c>
      <c r="N11" s="51" t="s">
        <v>66</v>
      </c>
      <c r="O11" s="52" t="s">
        <v>67</v>
      </c>
      <c r="P11" s="53" t="s">
        <v>68</v>
      </c>
    </row>
    <row r="12" spans="1:16" ht="12.75" customHeight="1" thickBot="1" x14ac:dyDescent="0.25">
      <c r="A12" s="13" t="str">
        <f t="shared" si="0"/>
        <v>OEJV 0074 </v>
      </c>
      <c r="B12" s="18" t="str">
        <f t="shared" si="1"/>
        <v>I</v>
      </c>
      <c r="C12" s="13">
        <f t="shared" si="2"/>
        <v>52014.406170000002</v>
      </c>
      <c r="D12" s="15" t="str">
        <f t="shared" si="3"/>
        <v>vis</v>
      </c>
      <c r="E12" s="49">
        <f>VLOOKUP(C12,Active!C$21:E$972,3,FALSE)</f>
        <v>30882.369479659326</v>
      </c>
      <c r="F12" s="18" t="s">
        <v>60</v>
      </c>
      <c r="G12" s="15" t="str">
        <f t="shared" si="4"/>
        <v>52014.40617</v>
      </c>
      <c r="H12" s="13">
        <f t="shared" si="5"/>
        <v>-6110</v>
      </c>
      <c r="I12" s="50" t="s">
        <v>69</v>
      </c>
      <c r="J12" s="51" t="s">
        <v>70</v>
      </c>
      <c r="K12" s="50">
        <v>-6110</v>
      </c>
      <c r="L12" s="50" t="s">
        <v>71</v>
      </c>
      <c r="M12" s="51" t="s">
        <v>72</v>
      </c>
      <c r="N12" s="51" t="s">
        <v>73</v>
      </c>
      <c r="O12" s="52" t="s">
        <v>74</v>
      </c>
      <c r="P12" s="53" t="s">
        <v>75</v>
      </c>
    </row>
    <row r="13" spans="1:16" ht="12.75" customHeight="1" thickBot="1" x14ac:dyDescent="0.25">
      <c r="A13" s="13" t="str">
        <f t="shared" si="0"/>
        <v> BBS 127 </v>
      </c>
      <c r="B13" s="18" t="str">
        <f t="shared" si="1"/>
        <v>I</v>
      </c>
      <c r="C13" s="13">
        <f t="shared" si="2"/>
        <v>52308.695</v>
      </c>
      <c r="D13" s="15" t="str">
        <f t="shared" si="3"/>
        <v>vis</v>
      </c>
      <c r="E13" s="49">
        <f>VLOOKUP(C13,Active!C$21:E$972,3,FALSE)</f>
        <v>31434.377906219906</v>
      </c>
      <c r="F13" s="18" t="s">
        <v>60</v>
      </c>
      <c r="G13" s="15" t="str">
        <f t="shared" si="4"/>
        <v>52308.6950</v>
      </c>
      <c r="H13" s="13">
        <f t="shared" si="5"/>
        <v>-5558</v>
      </c>
      <c r="I13" s="50" t="s">
        <v>81</v>
      </c>
      <c r="J13" s="51" t="s">
        <v>82</v>
      </c>
      <c r="K13" s="50">
        <v>-5558</v>
      </c>
      <c r="L13" s="50" t="s">
        <v>83</v>
      </c>
      <c r="M13" s="51" t="s">
        <v>65</v>
      </c>
      <c r="N13" s="51" t="s">
        <v>66</v>
      </c>
      <c r="O13" s="52" t="s">
        <v>79</v>
      </c>
      <c r="P13" s="52" t="s">
        <v>80</v>
      </c>
    </row>
    <row r="14" spans="1:16" ht="12.75" customHeight="1" thickBot="1" x14ac:dyDescent="0.25">
      <c r="A14" s="13" t="str">
        <f t="shared" si="0"/>
        <v> BBS 127 </v>
      </c>
      <c r="B14" s="18" t="str">
        <f t="shared" si="1"/>
        <v>I</v>
      </c>
      <c r="C14" s="13">
        <f t="shared" si="2"/>
        <v>52344.415699999998</v>
      </c>
      <c r="D14" s="15" t="str">
        <f t="shared" si="3"/>
        <v>vis</v>
      </c>
      <c r="E14" s="49">
        <f>VLOOKUP(C14,Active!C$21:E$972,3,FALSE)</f>
        <v>31501.380542380582</v>
      </c>
      <c r="F14" s="18" t="s">
        <v>60</v>
      </c>
      <c r="G14" s="15" t="str">
        <f t="shared" si="4"/>
        <v>52344.4157</v>
      </c>
      <c r="H14" s="13">
        <f t="shared" si="5"/>
        <v>-5491</v>
      </c>
      <c r="I14" s="50" t="s">
        <v>84</v>
      </c>
      <c r="J14" s="51" t="s">
        <v>85</v>
      </c>
      <c r="K14" s="50">
        <v>-5491</v>
      </c>
      <c r="L14" s="50" t="s">
        <v>86</v>
      </c>
      <c r="M14" s="51" t="s">
        <v>65</v>
      </c>
      <c r="N14" s="51" t="s">
        <v>66</v>
      </c>
      <c r="O14" s="52" t="s">
        <v>79</v>
      </c>
      <c r="P14" s="52" t="s">
        <v>80</v>
      </c>
    </row>
    <row r="15" spans="1:16" ht="12.75" customHeight="1" thickBot="1" x14ac:dyDescent="0.25">
      <c r="A15" s="13" t="str">
        <f t="shared" si="0"/>
        <v>IBVS 5403 </v>
      </c>
      <c r="B15" s="18" t="str">
        <f t="shared" si="1"/>
        <v>II</v>
      </c>
      <c r="C15" s="13">
        <f t="shared" si="2"/>
        <v>52601.663999999997</v>
      </c>
      <c r="D15" s="15" t="str">
        <f t="shared" si="3"/>
        <v>vis</v>
      </c>
      <c r="E15" s="49">
        <f>VLOOKUP(C15,Active!C$21:E$972,3,FALSE)</f>
        <v>31983.910678907971</v>
      </c>
      <c r="F15" s="18" t="s">
        <v>60</v>
      </c>
      <c r="G15" s="15" t="str">
        <f t="shared" si="4"/>
        <v>52601.664</v>
      </c>
      <c r="H15" s="13">
        <f t="shared" si="5"/>
        <v>-5008.5</v>
      </c>
      <c r="I15" s="50" t="s">
        <v>90</v>
      </c>
      <c r="J15" s="51" t="s">
        <v>91</v>
      </c>
      <c r="K15" s="50">
        <v>-5008.5</v>
      </c>
      <c r="L15" s="50" t="s">
        <v>92</v>
      </c>
      <c r="M15" s="51" t="s">
        <v>65</v>
      </c>
      <c r="N15" s="51" t="s">
        <v>66</v>
      </c>
      <c r="O15" s="52" t="s">
        <v>79</v>
      </c>
      <c r="P15" s="53" t="s">
        <v>68</v>
      </c>
    </row>
    <row r="16" spans="1:16" ht="12.75" customHeight="1" thickBot="1" x14ac:dyDescent="0.25">
      <c r="A16" s="13" t="str">
        <f t="shared" si="0"/>
        <v>IBVS 5403 </v>
      </c>
      <c r="B16" s="18" t="str">
        <f t="shared" si="1"/>
        <v>II</v>
      </c>
      <c r="C16" s="13">
        <f t="shared" si="2"/>
        <v>52655.504000000001</v>
      </c>
      <c r="D16" s="15" t="str">
        <f t="shared" si="3"/>
        <v>vis</v>
      </c>
      <c r="E16" s="49">
        <f>VLOOKUP(C16,Active!C$21:E$972,3,FALSE)</f>
        <v>32084.900355227062</v>
      </c>
      <c r="F16" s="18" t="s">
        <v>60</v>
      </c>
      <c r="G16" s="15" t="str">
        <f t="shared" si="4"/>
        <v>52655.504</v>
      </c>
      <c r="H16" s="13">
        <f t="shared" si="5"/>
        <v>-4907.5</v>
      </c>
      <c r="I16" s="50" t="s">
        <v>93</v>
      </c>
      <c r="J16" s="51" t="s">
        <v>94</v>
      </c>
      <c r="K16" s="50">
        <v>-4907.5</v>
      </c>
      <c r="L16" s="50" t="s">
        <v>95</v>
      </c>
      <c r="M16" s="51" t="s">
        <v>65</v>
      </c>
      <c r="N16" s="51" t="s">
        <v>66</v>
      </c>
      <c r="O16" s="52" t="s">
        <v>79</v>
      </c>
      <c r="P16" s="53" t="s">
        <v>68</v>
      </c>
    </row>
    <row r="17" spans="1:16" ht="12.75" customHeight="1" thickBot="1" x14ac:dyDescent="0.25">
      <c r="A17" s="13" t="str">
        <f t="shared" si="0"/>
        <v>IBVS 5403 </v>
      </c>
      <c r="B17" s="18" t="str">
        <f t="shared" si="1"/>
        <v>I</v>
      </c>
      <c r="C17" s="13">
        <f t="shared" si="2"/>
        <v>52691.49</v>
      </c>
      <c r="D17" s="15" t="str">
        <f t="shared" si="3"/>
        <v>vis</v>
      </c>
      <c r="E17" s="49">
        <f>VLOOKUP(C17,Active!C$21:E$972,3,FALSE)</f>
        <v>32152.400624395304</v>
      </c>
      <c r="F17" s="18" t="s">
        <v>60</v>
      </c>
      <c r="G17" s="15" t="str">
        <f t="shared" si="4"/>
        <v>52691.490</v>
      </c>
      <c r="H17" s="13">
        <f t="shared" si="5"/>
        <v>-4840</v>
      </c>
      <c r="I17" s="50" t="s">
        <v>96</v>
      </c>
      <c r="J17" s="51" t="s">
        <v>97</v>
      </c>
      <c r="K17" s="50">
        <v>-4840</v>
      </c>
      <c r="L17" s="50" t="s">
        <v>98</v>
      </c>
      <c r="M17" s="51" t="s">
        <v>65</v>
      </c>
      <c r="N17" s="51" t="s">
        <v>66</v>
      </c>
      <c r="O17" s="52" t="s">
        <v>79</v>
      </c>
      <c r="P17" s="53" t="s">
        <v>68</v>
      </c>
    </row>
    <row r="18" spans="1:16" ht="12.75" customHeight="1" thickBot="1" x14ac:dyDescent="0.25">
      <c r="A18" s="13" t="str">
        <f t="shared" si="0"/>
        <v>IBVS 5403 </v>
      </c>
      <c r="B18" s="18" t="str">
        <f t="shared" si="1"/>
        <v>II</v>
      </c>
      <c r="C18" s="13">
        <f t="shared" si="2"/>
        <v>52694.423999999999</v>
      </c>
      <c r="D18" s="15" t="str">
        <f t="shared" si="3"/>
        <v>vis</v>
      </c>
      <c r="E18" s="49">
        <f>VLOOKUP(C18,Active!C$21:E$972,3,FALSE)</f>
        <v>32157.904036548356</v>
      </c>
      <c r="F18" s="18" t="s">
        <v>60</v>
      </c>
      <c r="G18" s="15" t="str">
        <f t="shared" si="4"/>
        <v>52694.424</v>
      </c>
      <c r="H18" s="13">
        <f t="shared" si="5"/>
        <v>-4834.5</v>
      </c>
      <c r="I18" s="50" t="s">
        <v>99</v>
      </c>
      <c r="J18" s="51" t="s">
        <v>100</v>
      </c>
      <c r="K18" s="50">
        <v>-4834.5</v>
      </c>
      <c r="L18" s="50" t="s">
        <v>101</v>
      </c>
      <c r="M18" s="51" t="s">
        <v>65</v>
      </c>
      <c r="N18" s="51" t="s">
        <v>66</v>
      </c>
      <c r="O18" s="52" t="s">
        <v>79</v>
      </c>
      <c r="P18" s="53" t="s">
        <v>68</v>
      </c>
    </row>
    <row r="19" spans="1:16" ht="12.75" customHeight="1" thickBot="1" x14ac:dyDescent="0.25">
      <c r="A19" s="13" t="str">
        <f t="shared" si="0"/>
        <v> BBS 130 </v>
      </c>
      <c r="B19" s="18" t="str">
        <f t="shared" si="1"/>
        <v>I</v>
      </c>
      <c r="C19" s="13">
        <f t="shared" si="2"/>
        <v>53094.529699999999</v>
      </c>
      <c r="D19" s="15" t="str">
        <f t="shared" si="3"/>
        <v>vis</v>
      </c>
      <c r="E19" s="49">
        <f>VLOOKUP(C19,Active!C$21:E$972,3,FALSE)</f>
        <v>32908.397074000444</v>
      </c>
      <c r="F19" s="18" t="s">
        <v>60</v>
      </c>
      <c r="G19" s="15" t="str">
        <f t="shared" si="4"/>
        <v>53094.5297</v>
      </c>
      <c r="H19" s="13">
        <f t="shared" si="5"/>
        <v>-4084</v>
      </c>
      <c r="I19" s="50" t="s">
        <v>102</v>
      </c>
      <c r="J19" s="51" t="s">
        <v>103</v>
      </c>
      <c r="K19" s="50">
        <v>-4084</v>
      </c>
      <c r="L19" s="50" t="s">
        <v>104</v>
      </c>
      <c r="M19" s="51" t="s">
        <v>65</v>
      </c>
      <c r="N19" s="51" t="s">
        <v>66</v>
      </c>
      <c r="O19" s="52" t="s">
        <v>79</v>
      </c>
      <c r="P19" s="52" t="s">
        <v>105</v>
      </c>
    </row>
    <row r="20" spans="1:16" ht="12.75" customHeight="1" thickBot="1" x14ac:dyDescent="0.25">
      <c r="A20" s="13" t="str">
        <f t="shared" si="0"/>
        <v>BAVM 173 </v>
      </c>
      <c r="B20" s="18" t="str">
        <f t="shared" si="1"/>
        <v>II</v>
      </c>
      <c r="C20" s="13">
        <f t="shared" si="2"/>
        <v>53465.3249</v>
      </c>
      <c r="D20" s="15" t="str">
        <f t="shared" si="3"/>
        <v>vis</v>
      </c>
      <c r="E20" s="49">
        <f>VLOOKUP(C20,Active!C$21:E$972,3,FALSE)</f>
        <v>33603.911324161476</v>
      </c>
      <c r="F20" s="18" t="s">
        <v>60</v>
      </c>
      <c r="G20" s="15" t="str">
        <f t="shared" si="4"/>
        <v>53465.3249</v>
      </c>
      <c r="H20" s="13">
        <f t="shared" si="5"/>
        <v>-3388.5</v>
      </c>
      <c r="I20" s="50" t="s">
        <v>106</v>
      </c>
      <c r="J20" s="51" t="s">
        <v>107</v>
      </c>
      <c r="K20" s="50">
        <v>-3388.5</v>
      </c>
      <c r="L20" s="50" t="s">
        <v>108</v>
      </c>
      <c r="M20" s="51" t="s">
        <v>65</v>
      </c>
      <c r="N20" s="51" t="s">
        <v>109</v>
      </c>
      <c r="O20" s="52" t="s">
        <v>110</v>
      </c>
      <c r="P20" s="53" t="s">
        <v>111</v>
      </c>
    </row>
    <row r="21" spans="1:16" ht="12.75" customHeight="1" thickBot="1" x14ac:dyDescent="0.25">
      <c r="A21" s="13" t="str">
        <f t="shared" si="0"/>
        <v>BAVM 173 </v>
      </c>
      <c r="B21" s="18" t="str">
        <f t="shared" si="1"/>
        <v>I</v>
      </c>
      <c r="C21" s="13">
        <f t="shared" si="2"/>
        <v>53465.590400000001</v>
      </c>
      <c r="D21" s="15" t="str">
        <f t="shared" si="3"/>
        <v>vis</v>
      </c>
      <c r="E21" s="49">
        <f>VLOOKUP(C21,Active!C$21:E$972,3,FALSE)</f>
        <v>33604.409332316434</v>
      </c>
      <c r="F21" s="18" t="s">
        <v>60</v>
      </c>
      <c r="G21" s="15" t="str">
        <f t="shared" si="4"/>
        <v>53465.5904</v>
      </c>
      <c r="H21" s="13">
        <f t="shared" si="5"/>
        <v>-3388</v>
      </c>
      <c r="I21" s="50" t="s">
        <v>112</v>
      </c>
      <c r="J21" s="51" t="s">
        <v>113</v>
      </c>
      <c r="K21" s="50" t="s">
        <v>114</v>
      </c>
      <c r="L21" s="50" t="s">
        <v>115</v>
      </c>
      <c r="M21" s="51" t="s">
        <v>65</v>
      </c>
      <c r="N21" s="51" t="s">
        <v>109</v>
      </c>
      <c r="O21" s="52" t="s">
        <v>110</v>
      </c>
      <c r="P21" s="53" t="s">
        <v>111</v>
      </c>
    </row>
    <row r="22" spans="1:16" ht="12.75" customHeight="1" thickBot="1" x14ac:dyDescent="0.25">
      <c r="A22" s="13" t="str">
        <f t="shared" si="0"/>
        <v>IBVS 5713 </v>
      </c>
      <c r="B22" s="18" t="str">
        <f t="shared" si="1"/>
        <v>I</v>
      </c>
      <c r="C22" s="13">
        <f t="shared" si="2"/>
        <v>53849.439100000003</v>
      </c>
      <c r="D22" s="15" t="str">
        <f t="shared" si="3"/>
        <v>vis</v>
      </c>
      <c r="E22" s="49">
        <f>VLOOKUP(C22,Active!C$21:E$972,3,FALSE)</f>
        <v>34324.408514495139</v>
      </c>
      <c r="F22" s="18" t="s">
        <v>60</v>
      </c>
      <c r="G22" s="15" t="str">
        <f t="shared" si="4"/>
        <v>53849.4391</v>
      </c>
      <c r="H22" s="13">
        <f t="shared" si="5"/>
        <v>-2668</v>
      </c>
      <c r="I22" s="50" t="s">
        <v>123</v>
      </c>
      <c r="J22" s="51" t="s">
        <v>124</v>
      </c>
      <c r="K22" s="50" t="s">
        <v>125</v>
      </c>
      <c r="L22" s="50" t="s">
        <v>126</v>
      </c>
      <c r="M22" s="51" t="s">
        <v>65</v>
      </c>
      <c r="N22" s="51" t="s">
        <v>66</v>
      </c>
      <c r="O22" s="52" t="s">
        <v>127</v>
      </c>
      <c r="P22" s="53" t="s">
        <v>128</v>
      </c>
    </row>
    <row r="23" spans="1:16" ht="12.75" customHeight="1" thickBot="1" x14ac:dyDescent="0.25">
      <c r="A23" s="13" t="str">
        <f t="shared" si="0"/>
        <v>OEJV 0107 </v>
      </c>
      <c r="B23" s="18" t="str">
        <f t="shared" si="1"/>
        <v>I</v>
      </c>
      <c r="C23" s="13">
        <f t="shared" si="2"/>
        <v>54172.524899999997</v>
      </c>
      <c r="D23" s="15" t="str">
        <f t="shared" si="3"/>
        <v>vis</v>
      </c>
      <c r="E23" s="49">
        <f>VLOOKUP(C23,Active!C$21:E$972,3,FALSE)</f>
        <v>34930.432481161028</v>
      </c>
      <c r="F23" s="18" t="s">
        <v>60</v>
      </c>
      <c r="G23" s="15" t="str">
        <f t="shared" si="4"/>
        <v>54172.5249</v>
      </c>
      <c r="H23" s="13">
        <f t="shared" si="5"/>
        <v>-2062</v>
      </c>
      <c r="I23" s="50" t="s">
        <v>129</v>
      </c>
      <c r="J23" s="51" t="s">
        <v>130</v>
      </c>
      <c r="K23" s="50" t="s">
        <v>131</v>
      </c>
      <c r="L23" s="50" t="s">
        <v>132</v>
      </c>
      <c r="M23" s="51" t="s">
        <v>72</v>
      </c>
      <c r="N23" s="51" t="s">
        <v>120</v>
      </c>
      <c r="O23" s="52" t="s">
        <v>121</v>
      </c>
      <c r="P23" s="53" t="s">
        <v>122</v>
      </c>
    </row>
    <row r="24" spans="1:16" ht="12.75" customHeight="1" thickBot="1" x14ac:dyDescent="0.25">
      <c r="A24" s="13" t="str">
        <f t="shared" si="0"/>
        <v>IBVS 5894 </v>
      </c>
      <c r="B24" s="18" t="str">
        <f t="shared" si="1"/>
        <v>I</v>
      </c>
      <c r="C24" s="13">
        <f t="shared" si="2"/>
        <v>54950.892599999999</v>
      </c>
      <c r="D24" s="15" t="str">
        <f t="shared" si="3"/>
        <v>vis</v>
      </c>
      <c r="E24" s="49">
        <f>VLOOKUP(C24,Active!C$21:E$972,3,FALSE)</f>
        <v>36390.445521284171</v>
      </c>
      <c r="F24" s="18" t="s">
        <v>60</v>
      </c>
      <c r="G24" s="15" t="str">
        <f t="shared" si="4"/>
        <v>54950.8926</v>
      </c>
      <c r="H24" s="13">
        <f t="shared" si="5"/>
        <v>-602</v>
      </c>
      <c r="I24" s="50" t="s">
        <v>133</v>
      </c>
      <c r="J24" s="51" t="s">
        <v>134</v>
      </c>
      <c r="K24" s="50" t="s">
        <v>135</v>
      </c>
      <c r="L24" s="50" t="s">
        <v>136</v>
      </c>
      <c r="M24" s="51" t="s">
        <v>72</v>
      </c>
      <c r="N24" s="51" t="s">
        <v>60</v>
      </c>
      <c r="O24" s="52" t="s">
        <v>137</v>
      </c>
      <c r="P24" s="53" t="s">
        <v>138</v>
      </c>
    </row>
    <row r="25" spans="1:16" ht="12.75" customHeight="1" thickBot="1" x14ac:dyDescent="0.25">
      <c r="A25" s="13" t="str">
        <f t="shared" si="0"/>
        <v>IBVS 5992 </v>
      </c>
      <c r="B25" s="18" t="str">
        <f t="shared" si="1"/>
        <v>I</v>
      </c>
      <c r="C25" s="13">
        <f t="shared" si="2"/>
        <v>55634.896800000002</v>
      </c>
      <c r="D25" s="15" t="str">
        <f t="shared" si="3"/>
        <v>vis</v>
      </c>
      <c r="E25" s="49">
        <f>VLOOKUP(C25,Active!C$21:E$972,3,FALSE)</f>
        <v>37673.457459599442</v>
      </c>
      <c r="F25" s="18" t="s">
        <v>60</v>
      </c>
      <c r="G25" s="15" t="str">
        <f t="shared" si="4"/>
        <v>55634.8968</v>
      </c>
      <c r="H25" s="13">
        <f t="shared" si="5"/>
        <v>681</v>
      </c>
      <c r="I25" s="50" t="s">
        <v>139</v>
      </c>
      <c r="J25" s="51" t="s">
        <v>140</v>
      </c>
      <c r="K25" s="50" t="s">
        <v>141</v>
      </c>
      <c r="L25" s="50" t="s">
        <v>142</v>
      </c>
      <c r="M25" s="51" t="s">
        <v>72</v>
      </c>
      <c r="N25" s="51" t="s">
        <v>60</v>
      </c>
      <c r="O25" s="52" t="s">
        <v>137</v>
      </c>
      <c r="P25" s="53" t="s">
        <v>143</v>
      </c>
    </row>
    <row r="26" spans="1:16" ht="12.75" customHeight="1" thickBot="1" x14ac:dyDescent="0.25">
      <c r="A26" s="13" t="str">
        <f t="shared" si="0"/>
        <v>IBVS 6029 </v>
      </c>
      <c r="B26" s="18" t="str">
        <f t="shared" si="1"/>
        <v>I</v>
      </c>
      <c r="C26" s="13">
        <f t="shared" si="2"/>
        <v>56021.945099999997</v>
      </c>
      <c r="D26" s="15" t="str">
        <f t="shared" si="3"/>
        <v>vis</v>
      </c>
      <c r="E26" s="49">
        <f>VLOOKUP(C26,Active!C$21:E$972,3,FALSE)</f>
        <v>38399.45824965983</v>
      </c>
      <c r="F26" s="18" t="s">
        <v>60</v>
      </c>
      <c r="G26" s="15" t="str">
        <f t="shared" si="4"/>
        <v>56021.9451</v>
      </c>
      <c r="H26" s="13">
        <f t="shared" si="5"/>
        <v>1407</v>
      </c>
      <c r="I26" s="50" t="s">
        <v>144</v>
      </c>
      <c r="J26" s="51" t="s">
        <v>145</v>
      </c>
      <c r="K26" s="50" t="s">
        <v>146</v>
      </c>
      <c r="L26" s="50" t="s">
        <v>147</v>
      </c>
      <c r="M26" s="51" t="s">
        <v>72</v>
      </c>
      <c r="N26" s="51" t="s">
        <v>60</v>
      </c>
      <c r="O26" s="52" t="s">
        <v>137</v>
      </c>
      <c r="P26" s="53" t="s">
        <v>148</v>
      </c>
    </row>
    <row r="27" spans="1:16" ht="12.75" customHeight="1" thickBot="1" x14ac:dyDescent="0.25">
      <c r="A27" s="13" t="str">
        <f t="shared" si="0"/>
        <v> BBS 127 </v>
      </c>
      <c r="B27" s="18" t="str">
        <f t="shared" si="1"/>
        <v>II</v>
      </c>
      <c r="C27" s="13">
        <f t="shared" si="2"/>
        <v>52287.640200000002</v>
      </c>
      <c r="D27" s="15" t="str">
        <f t="shared" si="3"/>
        <v>vis</v>
      </c>
      <c r="E27" s="49">
        <f>VLOOKUP(C27,Active!C$21:E$972,3,FALSE)</f>
        <v>31394.884640303062</v>
      </c>
      <c r="F27" s="18" t="s">
        <v>60</v>
      </c>
      <c r="G27" s="15" t="str">
        <f t="shared" si="4"/>
        <v>52287.6402</v>
      </c>
      <c r="H27" s="13">
        <f t="shared" si="5"/>
        <v>-5597.5</v>
      </c>
      <c r="I27" s="50" t="s">
        <v>76</v>
      </c>
      <c r="J27" s="51" t="s">
        <v>77</v>
      </c>
      <c r="K27" s="50">
        <v>-5597.5</v>
      </c>
      <c r="L27" s="50" t="s">
        <v>78</v>
      </c>
      <c r="M27" s="51" t="s">
        <v>65</v>
      </c>
      <c r="N27" s="51" t="s">
        <v>66</v>
      </c>
      <c r="O27" s="52" t="s">
        <v>79</v>
      </c>
      <c r="P27" s="52" t="s">
        <v>80</v>
      </c>
    </row>
    <row r="28" spans="1:16" ht="12.75" customHeight="1" thickBot="1" x14ac:dyDescent="0.25">
      <c r="A28" s="13" t="str">
        <f t="shared" si="0"/>
        <v> BBS 127 </v>
      </c>
      <c r="B28" s="18" t="str">
        <f t="shared" si="1"/>
        <v>II</v>
      </c>
      <c r="C28" s="13">
        <f t="shared" si="2"/>
        <v>52347.3537</v>
      </c>
      <c r="D28" s="15" t="str">
        <f t="shared" si="3"/>
        <v>vis</v>
      </c>
      <c r="E28" s="49">
        <f>VLOOKUP(C28,Active!C$21:E$972,3,FALSE)</f>
        <v>31506.891457481357</v>
      </c>
      <c r="F28" s="18" t="s">
        <v>60</v>
      </c>
      <c r="G28" s="15" t="str">
        <f t="shared" si="4"/>
        <v>52347.3537</v>
      </c>
      <c r="H28" s="13">
        <f t="shared" si="5"/>
        <v>-5485.5</v>
      </c>
      <c r="I28" s="50" t="s">
        <v>87</v>
      </c>
      <c r="J28" s="51" t="s">
        <v>88</v>
      </c>
      <c r="K28" s="50">
        <v>-5485.5</v>
      </c>
      <c r="L28" s="50" t="s">
        <v>89</v>
      </c>
      <c r="M28" s="51" t="s">
        <v>65</v>
      </c>
      <c r="N28" s="51" t="s">
        <v>66</v>
      </c>
      <c r="O28" s="52" t="s">
        <v>79</v>
      </c>
      <c r="P28" s="52" t="s">
        <v>80</v>
      </c>
    </row>
    <row r="29" spans="1:16" ht="12.75" customHeight="1" thickBot="1" x14ac:dyDescent="0.25">
      <c r="A29" s="13" t="str">
        <f t="shared" si="0"/>
        <v>OEJV 0107 </v>
      </c>
      <c r="B29" s="18" t="str">
        <f t="shared" si="1"/>
        <v>I</v>
      </c>
      <c r="C29" s="13">
        <f t="shared" si="2"/>
        <v>53833.4473</v>
      </c>
      <c r="D29" s="15" t="str">
        <f t="shared" si="3"/>
        <v>vis</v>
      </c>
      <c r="E29" s="49" t="e">
        <f>VLOOKUP(C29,Active!C$21:E$972,3,FALSE)</f>
        <v>#N/A</v>
      </c>
      <c r="F29" s="18" t="s">
        <v>60</v>
      </c>
      <c r="G29" s="15" t="str">
        <f t="shared" si="4"/>
        <v>53833.4473</v>
      </c>
      <c r="H29" s="13">
        <f t="shared" si="5"/>
        <v>-2698</v>
      </c>
      <c r="I29" s="50" t="s">
        <v>116</v>
      </c>
      <c r="J29" s="51" t="s">
        <v>117</v>
      </c>
      <c r="K29" s="50" t="s">
        <v>118</v>
      </c>
      <c r="L29" s="50" t="s">
        <v>119</v>
      </c>
      <c r="M29" s="51" t="s">
        <v>72</v>
      </c>
      <c r="N29" s="51" t="s">
        <v>120</v>
      </c>
      <c r="O29" s="52" t="s">
        <v>121</v>
      </c>
      <c r="P29" s="53" t="s">
        <v>122</v>
      </c>
    </row>
    <row r="30" spans="1:16" x14ac:dyDescent="0.2">
      <c r="B30" s="18"/>
      <c r="F30" s="18"/>
    </row>
    <row r="31" spans="1:16" x14ac:dyDescent="0.2">
      <c r="B31" s="18"/>
      <c r="F31" s="18"/>
    </row>
    <row r="32" spans="1:16" x14ac:dyDescent="0.2">
      <c r="B32" s="18"/>
      <c r="F32" s="18"/>
    </row>
    <row r="33" spans="2:6" x14ac:dyDescent="0.2">
      <c r="B33" s="18"/>
      <c r="F33" s="18"/>
    </row>
    <row r="34" spans="2:6" x14ac:dyDescent="0.2">
      <c r="B34" s="18"/>
      <c r="F34" s="18"/>
    </row>
    <row r="35" spans="2:6" x14ac:dyDescent="0.2">
      <c r="B35" s="18"/>
      <c r="F35" s="18"/>
    </row>
    <row r="36" spans="2:6" x14ac:dyDescent="0.2">
      <c r="B36" s="18"/>
      <c r="F36" s="18"/>
    </row>
    <row r="37" spans="2:6" x14ac:dyDescent="0.2">
      <c r="B37" s="18"/>
      <c r="F37" s="18"/>
    </row>
    <row r="38" spans="2:6" x14ac:dyDescent="0.2">
      <c r="B38" s="18"/>
      <c r="F38" s="18"/>
    </row>
    <row r="39" spans="2:6" x14ac:dyDescent="0.2">
      <c r="B39" s="18"/>
      <c r="F39" s="18"/>
    </row>
    <row r="40" spans="2:6" x14ac:dyDescent="0.2">
      <c r="B40" s="18"/>
      <c r="F40" s="18"/>
    </row>
    <row r="41" spans="2:6" x14ac:dyDescent="0.2">
      <c r="B41" s="18"/>
      <c r="F41" s="18"/>
    </row>
    <row r="42" spans="2:6" x14ac:dyDescent="0.2">
      <c r="B42" s="18"/>
      <c r="F42" s="18"/>
    </row>
    <row r="43" spans="2:6" x14ac:dyDescent="0.2">
      <c r="B43" s="18"/>
      <c r="F43" s="18"/>
    </row>
    <row r="44" spans="2:6" x14ac:dyDescent="0.2">
      <c r="B44" s="18"/>
      <c r="F44" s="18"/>
    </row>
    <row r="45" spans="2:6" x14ac:dyDescent="0.2">
      <c r="B45" s="18"/>
      <c r="F45" s="18"/>
    </row>
    <row r="46" spans="2:6" x14ac:dyDescent="0.2">
      <c r="B46" s="18"/>
      <c r="F46" s="18"/>
    </row>
    <row r="47" spans="2:6" x14ac:dyDescent="0.2">
      <c r="B47" s="18"/>
      <c r="F47" s="18"/>
    </row>
    <row r="48" spans="2:6" x14ac:dyDescent="0.2">
      <c r="B48" s="18"/>
      <c r="F48" s="18"/>
    </row>
    <row r="49" spans="2:6" x14ac:dyDescent="0.2">
      <c r="B49" s="18"/>
      <c r="F49" s="18"/>
    </row>
    <row r="50" spans="2:6" x14ac:dyDescent="0.2">
      <c r="B50" s="18"/>
      <c r="F50" s="18"/>
    </row>
    <row r="51" spans="2:6" x14ac:dyDescent="0.2">
      <c r="B51" s="18"/>
      <c r="F51" s="18"/>
    </row>
    <row r="52" spans="2:6" x14ac:dyDescent="0.2">
      <c r="B52" s="18"/>
      <c r="F52" s="18"/>
    </row>
    <row r="53" spans="2:6" x14ac:dyDescent="0.2">
      <c r="B53" s="18"/>
      <c r="F53" s="18"/>
    </row>
    <row r="54" spans="2:6" x14ac:dyDescent="0.2">
      <c r="B54" s="18"/>
      <c r="F54" s="18"/>
    </row>
    <row r="55" spans="2:6" x14ac:dyDescent="0.2">
      <c r="B55" s="18"/>
      <c r="F55" s="18"/>
    </row>
    <row r="56" spans="2:6" x14ac:dyDescent="0.2">
      <c r="B56" s="18"/>
      <c r="F56" s="18"/>
    </row>
    <row r="57" spans="2:6" x14ac:dyDescent="0.2">
      <c r="B57" s="18"/>
      <c r="F57" s="18"/>
    </row>
    <row r="58" spans="2:6" x14ac:dyDescent="0.2">
      <c r="B58" s="18"/>
      <c r="F58" s="18"/>
    </row>
    <row r="59" spans="2:6" x14ac:dyDescent="0.2">
      <c r="B59" s="18"/>
      <c r="F59" s="18"/>
    </row>
    <row r="60" spans="2:6" x14ac:dyDescent="0.2">
      <c r="B60" s="18"/>
      <c r="F60" s="18"/>
    </row>
    <row r="61" spans="2:6" x14ac:dyDescent="0.2">
      <c r="B61" s="18"/>
      <c r="F61" s="18"/>
    </row>
    <row r="62" spans="2:6" x14ac:dyDescent="0.2">
      <c r="B62" s="18"/>
      <c r="F62" s="18"/>
    </row>
    <row r="63" spans="2:6" x14ac:dyDescent="0.2">
      <c r="B63" s="18"/>
      <c r="F63" s="18"/>
    </row>
    <row r="64" spans="2:6" x14ac:dyDescent="0.2">
      <c r="B64" s="18"/>
      <c r="F64" s="18"/>
    </row>
    <row r="65" spans="2:6" x14ac:dyDescent="0.2">
      <c r="B65" s="18"/>
      <c r="F65" s="18"/>
    </row>
    <row r="66" spans="2:6" x14ac:dyDescent="0.2">
      <c r="B66" s="18"/>
      <c r="F66" s="18"/>
    </row>
    <row r="67" spans="2:6" x14ac:dyDescent="0.2">
      <c r="B67" s="18"/>
      <c r="F67" s="18"/>
    </row>
    <row r="68" spans="2:6" x14ac:dyDescent="0.2">
      <c r="B68" s="18"/>
      <c r="F68" s="18"/>
    </row>
    <row r="69" spans="2:6" x14ac:dyDescent="0.2">
      <c r="B69" s="18"/>
      <c r="F69" s="18"/>
    </row>
    <row r="70" spans="2:6" x14ac:dyDescent="0.2">
      <c r="B70" s="18"/>
      <c r="F70" s="18"/>
    </row>
    <row r="71" spans="2:6" x14ac:dyDescent="0.2">
      <c r="B71" s="18"/>
      <c r="F71" s="18"/>
    </row>
    <row r="72" spans="2:6" x14ac:dyDescent="0.2">
      <c r="B72" s="18"/>
      <c r="F72" s="18"/>
    </row>
    <row r="73" spans="2:6" x14ac:dyDescent="0.2">
      <c r="B73" s="18"/>
      <c r="F73" s="18"/>
    </row>
    <row r="74" spans="2:6" x14ac:dyDescent="0.2">
      <c r="B74" s="18"/>
      <c r="F74" s="18"/>
    </row>
    <row r="75" spans="2:6" x14ac:dyDescent="0.2">
      <c r="B75" s="18"/>
      <c r="F75" s="18"/>
    </row>
    <row r="76" spans="2:6" x14ac:dyDescent="0.2">
      <c r="B76" s="18"/>
      <c r="F76" s="18"/>
    </row>
    <row r="77" spans="2:6" x14ac:dyDescent="0.2">
      <c r="B77" s="18"/>
      <c r="F77" s="18"/>
    </row>
    <row r="78" spans="2:6" x14ac:dyDescent="0.2">
      <c r="B78" s="18"/>
      <c r="F78" s="18"/>
    </row>
    <row r="79" spans="2:6" x14ac:dyDescent="0.2">
      <c r="B79" s="18"/>
      <c r="F79" s="18"/>
    </row>
    <row r="80" spans="2: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</sheetData>
  <phoneticPr fontId="7" type="noConversion"/>
  <hyperlinks>
    <hyperlink ref="P11" r:id="rId1" display="http://www.konkoly.hu/cgi-bin/IBVS?5403"/>
    <hyperlink ref="P12" r:id="rId2" display="http://var.astro.cz/oejv/issues/oejv0074.pdf"/>
    <hyperlink ref="P15" r:id="rId3" display="http://www.konkoly.hu/cgi-bin/IBVS?5403"/>
    <hyperlink ref="P16" r:id="rId4" display="http://www.konkoly.hu/cgi-bin/IBVS?5403"/>
    <hyperlink ref="P17" r:id="rId5" display="http://www.konkoly.hu/cgi-bin/IBVS?5403"/>
    <hyperlink ref="P18" r:id="rId6" display="http://www.konkoly.hu/cgi-bin/IBVS?5403"/>
    <hyperlink ref="P20" r:id="rId7" display="http://www.bav-astro.de/sfs/BAVM_link.php?BAVMnr=173"/>
    <hyperlink ref="P21" r:id="rId8" display="http://www.bav-astro.de/sfs/BAVM_link.php?BAVMnr=173"/>
    <hyperlink ref="P29" r:id="rId9" display="http://var.astro.cz/oejv/issues/oejv0107.pdf"/>
    <hyperlink ref="P22" r:id="rId10" display="http://www.konkoly.hu/cgi-bin/IBVS?5713"/>
    <hyperlink ref="P23" r:id="rId11" display="http://var.astro.cz/oejv/issues/oejv0107.pdf"/>
    <hyperlink ref="P24" r:id="rId12" display="http://www.konkoly.hu/cgi-bin/IBVS?5894"/>
    <hyperlink ref="P25" r:id="rId13" display="http://www.konkoly.hu/cgi-bin/IBVS?5992"/>
    <hyperlink ref="P26" r:id="rId1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2024-01-30T05:18:07Z</dcterms:modified>
</cp:coreProperties>
</file>