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47A30DC-1FCF-4963-9ADE-A58FBD6D3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F14" i="1"/>
  <c r="E22" i="1"/>
  <c r="F22" i="1" s="1"/>
  <c r="G22" i="1" s="1"/>
  <c r="I22" i="1" s="1"/>
  <c r="E23" i="1"/>
  <c r="F23" i="1"/>
  <c r="G23" i="1" s="1"/>
  <c r="I23" i="1" s="1"/>
  <c r="C9" i="1"/>
  <c r="C21" i="1"/>
  <c r="C17" i="1"/>
  <c r="D9" i="1"/>
  <c r="A21" i="1"/>
  <c r="Q21" i="1"/>
  <c r="E21" i="1"/>
  <c r="F21" i="1" s="1"/>
  <c r="G21" i="1" s="1"/>
  <c r="I21" i="1" s="1"/>
  <c r="C12" i="1"/>
  <c r="C11" i="1"/>
  <c r="F15" i="1" l="1"/>
  <c r="O22" i="1"/>
  <c r="C15" i="1"/>
  <c r="O21" i="1"/>
  <c r="O23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<sst xmlns="http://schemas.openxmlformats.org/spreadsheetml/2006/main" count="60" uniqueCount="56">
  <si>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</si>
  <si>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</si>
  <si>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</si>
  <si>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</si>
  <si>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</si>
  <si>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</si>
  <si>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</si>
  <si>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</si>
  <si>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</si>
  <si>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</si>
  <si>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</si>
  <si>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</si>
  <si>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</si>
  <si>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</si>
  <si>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</si>
  <si>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</si>
  <si>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</si>
  <si>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</si>
  <si>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</si>
  <si>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</si>
  <si>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</si>
  <si>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</si>
  <si>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</si>
  <si>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</si>
  <si>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</si>
  <si>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</si>
  <si>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</si>
  <si>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</si>
  <si>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</si>
  <si>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</si>
  <si>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</si>
  <si>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</si>
  <si>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</si>
  <si>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</si>
  <si>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</si>
  <si>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</si>
  <si>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</si>
  <si>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</si>
  <si>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</si>
  <si>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</si>
  <si>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</si>
  <si>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V0392 Vul</t>
  </si>
  <si>
    <t>2014A</t>
  </si>
  <si>
    <t>G2138-0168</t>
  </si>
  <si>
    <t>EB</t>
  </si>
  <si>
    <t>X Cae</t>
  </si>
  <si>
    <t>JAVSO 49, 251</t>
  </si>
  <si>
    <t>II</t>
  </si>
  <si>
    <t>I</t>
  </si>
  <si>
    <t xml:space="preserve">Mag </t>
  </si>
  <si>
    <t>Next ToM-P</t>
  </si>
  <si>
    <t>Next ToM-S</t>
  </si>
  <si>
    <t>DSCT (not eclipsing Binary)</t>
  </si>
  <si>
    <t>6.28-6.38</t>
  </si>
  <si>
    <t>VSX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</si>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</sst>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20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 Cae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52-482E-876B-07BE982F68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1.176800000393996E-2</c:v>
                </c:pt>
                <c:pt idx="2">
                  <c:v>1.7764000003808178E-2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52-482E-876B-07BE982F68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52-482E-876B-07BE982F68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52-482E-876B-07BE982F68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52-482E-876B-07BE982F68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52-482E-876B-07BE982F68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3.6900000000000001E-3</c:v>
                  </c:pt>
                  <c:pt idx="2">
                    <c:v>3.9199999999999999E-3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52-482E-876B-07BE982F68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-3.6979948171353416E-8</c:v>
                </c:pt>
                <c:pt idx="1">
                  <c:v>1.476592742237481E-2</c:v>
                </c:pt>
                <c:pt idx="2">
                  <c:v>1.4766109565321501E-2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52-482E-876B-07BE982F68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81068</c:v>
                </c:pt>
                <c:pt idx="2">
                  <c:v>81069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52-482E-876B-07BE982F6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6968"/>
        <c:axId val="1"/>
      </c:scatterChart>
      <c:valAx>
        <c:axId val="67004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DF1BD41-F5F2-826F-57E5-97F5082BC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2" t="s">
        <v>45</v>
      </c>
      <c r="G1" s="33" t="s">
        <v>42</v>
      </c>
      <c r="H1" s="30"/>
      <c r="I1" s="34" t="s">
        <v>43</v>
      </c>
      <c r="J1" s="35" t="s">
        <v>41</v>
      </c>
      <c r="K1" s="31">
        <v>19.34047</v>
      </c>
      <c r="L1" s="36">
        <v>24.183700000000002</v>
      </c>
      <c r="M1" s="37">
        <v>57956.426452614105</v>
      </c>
      <c r="N1" s="37">
        <v>1.3514293911876532</v>
      </c>
      <c r="O1" s="38" t="s">
        <v>44</v>
      </c>
    </row>
    <row r="2" spans="1:15" x14ac:dyDescent="0.2">
      <c r="A2" t="s">
        <v>23</v>
      </c>
      <c r="B2" s="48" t="s">
        <v>52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36</v>
      </c>
      <c r="D4" s="27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39">
        <v>48201.02</v>
      </c>
      <c r="D7" s="28" t="s">
        <v>55</v>
      </c>
    </row>
    <row r="8" spans="1:15" x14ac:dyDescent="0.2">
      <c r="A8" t="s">
        <v>3</v>
      </c>
      <c r="C8" s="39">
        <v>0.135244</v>
      </c>
      <c r="D8" s="28" t="s">
        <v>54</v>
      </c>
      <c r="E8">
        <v>0.27048800000000001</v>
      </c>
    </row>
    <row r="9" spans="1:15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0">
        <f ca="1">INTERCEPT(INDIRECT($D$9):G992,INDIRECT($C$9):F992)</f>
        <v>-3.6979948171353416E-8</v>
      </c>
      <c r="D11" s="3"/>
      <c r="E11" s="10"/>
    </row>
    <row r="12" spans="1:15" x14ac:dyDescent="0.2">
      <c r="A12" s="10" t="s">
        <v>16</v>
      </c>
      <c r="B12" s="10"/>
      <c r="C12" s="20">
        <f ca="1">SLOPE(INDIRECT($D$9):G992,INDIRECT($C$9):F992)</f>
        <v>1.821429466907162E-7</v>
      </c>
      <c r="D12" s="3"/>
      <c r="E12" s="40" t="s">
        <v>49</v>
      </c>
      <c r="F12" s="41" t="s">
        <v>53</v>
      </c>
    </row>
    <row r="13" spans="1:15" x14ac:dyDescent="0.2">
      <c r="A13" s="10" t="s">
        <v>18</v>
      </c>
      <c r="B13" s="10"/>
      <c r="C13" s="3" t="s">
        <v>13</v>
      </c>
      <c r="E13" s="42" t="s">
        <v>33</v>
      </c>
      <c r="F13" s="43">
        <v>1</v>
      </c>
    </row>
    <row r="14" spans="1:15" x14ac:dyDescent="0.2">
      <c r="A14" s="10"/>
      <c r="B14" s="10"/>
      <c r="C14" s="10"/>
      <c r="E14" s="42" t="s">
        <v>30</v>
      </c>
      <c r="F14" s="44">
        <f ca="1">NOW()+15018.5+$C$5/24</f>
        <v>60517.716673726849</v>
      </c>
    </row>
    <row r="15" spans="1:15" x14ac:dyDescent="0.2">
      <c r="A15" s="12" t="s">
        <v>17</v>
      </c>
      <c r="B15" s="10"/>
      <c r="C15" s="13">
        <f ca="1">(C7+C11)+(C8+C12)*INT(MAX(F21:F3533))</f>
        <v>59165.130602109566</v>
      </c>
      <c r="E15" s="42" t="s">
        <v>34</v>
      </c>
      <c r="F15" s="44">
        <f ca="1">ROUND(2*($F$14-$C$7)/$C$8,0)/2+$F$13</f>
        <v>91071</v>
      </c>
    </row>
    <row r="16" spans="1:15" x14ac:dyDescent="0.2">
      <c r="A16" s="15" t="s">
        <v>4</v>
      </c>
      <c r="B16" s="10"/>
      <c r="C16" s="16">
        <f ca="1">+C8+C12</f>
        <v>0.1352441821429467</v>
      </c>
      <c r="E16" s="42" t="s">
        <v>35</v>
      </c>
      <c r="F16" s="44">
        <f ca="1">ROUND(2*($F$14-$C$15)/$C$16,0)/2+$F$13</f>
        <v>10002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42" t="s">
        <v>50</v>
      </c>
      <c r="F17" s="45">
        <f ca="1">+$C$15+$C$16*$F$16-15018.5-$C$5/24</f>
        <v>45499.738745236653</v>
      </c>
    </row>
    <row r="18" spans="1:21" ht="14.25" thickTop="1" thickBot="1" x14ac:dyDescent="0.25">
      <c r="A18" s="15" t="s">
        <v>5</v>
      </c>
      <c r="B18" s="10"/>
      <c r="C18" s="18">
        <f ca="1">+C15</f>
        <v>59165.130602109566</v>
      </c>
      <c r="D18" s="19">
        <f ca="1">+C16</f>
        <v>0.1352441821429467</v>
      </c>
      <c r="E18" s="47" t="s">
        <v>51</v>
      </c>
      <c r="F18" s="46">
        <f ca="1">+($C$15+$C$16*$F$16)-($C$16/2)-15018.5-$C$5/24</f>
        <v>45499.671123145585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x14ac:dyDescent="0.2">
      <c r="A21" t="str">
        <f>D7</f>
        <v>?</v>
      </c>
      <c r="C21" s="8">
        <f>C$7</f>
        <v>48201.02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-3.6979948171353416E-8</v>
      </c>
      <c r="Q21" s="2">
        <f>+C21-15018.5</f>
        <v>33182.519999999997</v>
      </c>
    </row>
    <row r="22" spans="1:21" x14ac:dyDescent="0.2">
      <c r="A22" t="s">
        <v>46</v>
      </c>
      <c r="B22" t="s">
        <v>47</v>
      </c>
      <c r="C22" s="8">
        <v>59164.992359999997</v>
      </c>
      <c r="D22" s="8">
        <v>3.6900000000000001E-3</v>
      </c>
      <c r="E22">
        <f>+(C22-C$7)/C$8</f>
        <v>81068.087013102238</v>
      </c>
      <c r="F22">
        <f>ROUND(2*E22,0)/2</f>
        <v>81068</v>
      </c>
      <c r="G22">
        <f>+C22-(C$7+F22*C$8)</f>
        <v>1.176800000393996E-2</v>
      </c>
      <c r="I22">
        <f>+G22</f>
        <v>1.176800000393996E-2</v>
      </c>
      <c r="O22">
        <f ca="1">+C$11+C$12*$F22</f>
        <v>1.476592742237481E-2</v>
      </c>
      <c r="Q22" s="2">
        <f t="shared" ref="Q22:Q23" si="0">+C22-15018.5</f>
        <v>44146.492359999997</v>
      </c>
    </row>
    <row r="23" spans="1:21" x14ac:dyDescent="0.2">
      <c r="A23" t="s">
        <v>46</v>
      </c>
      <c r="B23" t="s">
        <v>48</v>
      </c>
      <c r="C23" s="8">
        <v>59165.133600000001</v>
      </c>
      <c r="D23" s="8">
        <v>3.9199999999999999E-3</v>
      </c>
      <c r="E23">
        <f>+(C23-C$7)/C$8</f>
        <v>81069.131347786257</v>
      </c>
      <c r="F23">
        <f>ROUND(2*E23,0)/2</f>
        <v>81069</v>
      </c>
      <c r="G23">
        <f>+C23-(C$7+F23*C$8)</f>
        <v>1.7764000003808178E-2</v>
      </c>
      <c r="I23">
        <f>+G23</f>
        <v>1.7764000003808178E-2</v>
      </c>
      <c r="O23">
        <f ca="1">+C$11+C$12*$F23</f>
        <v>1.4766109565321501E-2</v>
      </c>
      <c r="Q23" s="2">
        <f t="shared" si="0"/>
        <v>44146.633600000001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2024-07-26T05:12:00Z</dcterms:modified>
</cp:coreProperties>
</file>