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04B38E-A3CA-41CB-B780-B0A25A953C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X3" i="1" l="1"/>
  <c r="X4" i="1" s="1"/>
  <c r="X5" i="1" s="1"/>
  <c r="V4" i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3" i="1"/>
  <c r="E65" i="1"/>
  <c r="F65" i="1" s="1"/>
  <c r="Q65" i="1"/>
  <c r="F4" i="1"/>
  <c r="F5" i="1" s="1"/>
  <c r="E82" i="1"/>
  <c r="F82" i="1" s="1"/>
  <c r="Q82" i="1"/>
  <c r="E83" i="1"/>
  <c r="F83" i="1" s="1"/>
  <c r="Q83" i="1"/>
  <c r="E85" i="1"/>
  <c r="F85" i="1" s="1"/>
  <c r="Q85" i="1"/>
  <c r="Q84" i="1"/>
  <c r="D11" i="1"/>
  <c r="D12" i="1"/>
  <c r="Q80" i="1"/>
  <c r="Q77" i="1"/>
  <c r="Q81" i="1"/>
  <c r="D13" i="1"/>
  <c r="E9" i="1"/>
  <c r="D9" i="1"/>
  <c r="Q76" i="1"/>
  <c r="Q73" i="1"/>
  <c r="Q67" i="1"/>
  <c r="Q62" i="1"/>
  <c r="Q60" i="1"/>
  <c r="Q59" i="1"/>
  <c r="Q58" i="1"/>
  <c r="Q57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5" i="2"/>
  <c r="C25" i="2"/>
  <c r="G24" i="2"/>
  <c r="C24" i="2"/>
  <c r="G65" i="2"/>
  <c r="C65" i="2"/>
  <c r="G23" i="2"/>
  <c r="C23" i="2"/>
  <c r="G22" i="2"/>
  <c r="C22" i="2"/>
  <c r="G64" i="2"/>
  <c r="C64" i="2"/>
  <c r="G21" i="2"/>
  <c r="C21" i="2"/>
  <c r="G20" i="2"/>
  <c r="C20" i="2"/>
  <c r="G19" i="2"/>
  <c r="C19" i="2"/>
  <c r="G18" i="2"/>
  <c r="C18" i="2"/>
  <c r="G63" i="2"/>
  <c r="C63" i="2"/>
  <c r="G17" i="2"/>
  <c r="C17" i="2"/>
  <c r="G16" i="2"/>
  <c r="C16" i="2"/>
  <c r="G15" i="2"/>
  <c r="C15" i="2"/>
  <c r="G62" i="2"/>
  <c r="C62" i="2"/>
  <c r="G14" i="2"/>
  <c r="C14" i="2"/>
  <c r="G61" i="2"/>
  <c r="C61" i="2"/>
  <c r="G60" i="2"/>
  <c r="C60" i="2"/>
  <c r="G59" i="2"/>
  <c r="C59" i="2"/>
  <c r="G58" i="2"/>
  <c r="C58" i="2"/>
  <c r="G13" i="2"/>
  <c r="C13" i="2"/>
  <c r="G12" i="2"/>
  <c r="C12" i="2"/>
  <c r="G11" i="2"/>
  <c r="C11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H25" i="2"/>
  <c r="D25" i="2"/>
  <c r="B25" i="2"/>
  <c r="A25" i="2"/>
  <c r="H24" i="2"/>
  <c r="B24" i="2"/>
  <c r="D24" i="2"/>
  <c r="A24" i="2"/>
  <c r="H65" i="2"/>
  <c r="D65" i="2"/>
  <c r="B65" i="2"/>
  <c r="A65" i="2"/>
  <c r="H23" i="2"/>
  <c r="B23" i="2"/>
  <c r="D23" i="2"/>
  <c r="A23" i="2"/>
  <c r="H22" i="2"/>
  <c r="D22" i="2"/>
  <c r="B22" i="2"/>
  <c r="A22" i="2"/>
  <c r="H64" i="2"/>
  <c r="B64" i="2"/>
  <c r="D64" i="2"/>
  <c r="A6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63" i="2"/>
  <c r="D63" i="2"/>
  <c r="B63" i="2"/>
  <c r="A63" i="2"/>
  <c r="H17" i="2"/>
  <c r="B17" i="2"/>
  <c r="D17" i="2"/>
  <c r="A17" i="2"/>
  <c r="H16" i="2"/>
  <c r="D16" i="2"/>
  <c r="B16" i="2"/>
  <c r="A16" i="2"/>
  <c r="H15" i="2"/>
  <c r="B15" i="2"/>
  <c r="D15" i="2"/>
  <c r="A15" i="2"/>
  <c r="H62" i="2"/>
  <c r="D62" i="2"/>
  <c r="B62" i="2"/>
  <c r="A62" i="2"/>
  <c r="H14" i="2"/>
  <c r="B14" i="2"/>
  <c r="D14" i="2"/>
  <c r="A14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13" i="2"/>
  <c r="D13" i="2"/>
  <c r="B13" i="2"/>
  <c r="A13" i="2"/>
  <c r="H12" i="2"/>
  <c r="B12" i="2"/>
  <c r="D12" i="2"/>
  <c r="A12" i="2"/>
  <c r="H11" i="2"/>
  <c r="D11" i="2"/>
  <c r="B11" i="2"/>
  <c r="A11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Q78" i="1"/>
  <c r="Q79" i="1"/>
  <c r="Q75" i="1"/>
  <c r="Q72" i="1"/>
  <c r="Q74" i="1"/>
  <c r="Q66" i="1"/>
  <c r="Q69" i="1"/>
  <c r="Q70" i="1"/>
  <c r="Q71" i="1"/>
  <c r="Q68" i="1"/>
  <c r="Q64" i="1"/>
  <c r="C17" i="1"/>
  <c r="Q63" i="1"/>
  <c r="Q61" i="1"/>
  <c r="Q53" i="1"/>
  <c r="Q54" i="1"/>
  <c r="Q56" i="1"/>
  <c r="Q55" i="1"/>
  <c r="E74" i="1"/>
  <c r="F74" i="1" s="1"/>
  <c r="E22" i="1"/>
  <c r="F22" i="1" s="1"/>
  <c r="E30" i="1"/>
  <c r="F30" i="1" s="1"/>
  <c r="G30" i="1" s="1"/>
  <c r="H30" i="1" s="1"/>
  <c r="E38" i="1"/>
  <c r="F38" i="1" s="1"/>
  <c r="E46" i="1"/>
  <c r="F46" i="1" s="1"/>
  <c r="G46" i="1" s="1"/>
  <c r="H46" i="1" s="1"/>
  <c r="E54" i="1"/>
  <c r="E12" i="2" s="1"/>
  <c r="E62" i="1"/>
  <c r="E84" i="1"/>
  <c r="F84" i="1" s="1"/>
  <c r="E69" i="1"/>
  <c r="F69" i="1" s="1"/>
  <c r="E78" i="1"/>
  <c r="F78" i="1" s="1"/>
  <c r="G78" i="1" s="1"/>
  <c r="K78" i="1" s="1"/>
  <c r="E27" i="1"/>
  <c r="E32" i="2" s="1"/>
  <c r="E35" i="1"/>
  <c r="F35" i="1" s="1"/>
  <c r="E43" i="1"/>
  <c r="F43" i="1" s="1"/>
  <c r="G43" i="1" s="1"/>
  <c r="H43" i="1" s="1"/>
  <c r="E51" i="1"/>
  <c r="F51" i="1" s="1"/>
  <c r="E58" i="1"/>
  <c r="E59" i="2" s="1"/>
  <c r="E63" i="1"/>
  <c r="F63" i="1" s="1"/>
  <c r="G63" i="1" s="1"/>
  <c r="J63" i="1" s="1"/>
  <c r="E80" i="1"/>
  <c r="F80" i="1" s="1"/>
  <c r="G80" i="1" s="1"/>
  <c r="K80" i="1" s="1"/>
  <c r="E72" i="1"/>
  <c r="F72" i="1" s="1"/>
  <c r="G72" i="1" s="1"/>
  <c r="K72" i="1" s="1"/>
  <c r="E21" i="1"/>
  <c r="F21" i="1" s="1"/>
  <c r="G21" i="1" s="1"/>
  <c r="I21" i="1" s="1"/>
  <c r="E24" i="1"/>
  <c r="F24" i="1" s="1"/>
  <c r="E32" i="1"/>
  <c r="E37" i="2" s="1"/>
  <c r="E40" i="1"/>
  <c r="F40" i="1" s="1"/>
  <c r="E48" i="1"/>
  <c r="E53" i="2" s="1"/>
  <c r="E55" i="1"/>
  <c r="F55" i="1" s="1"/>
  <c r="E77" i="1"/>
  <c r="F77" i="1" s="1"/>
  <c r="E75" i="1"/>
  <c r="F75" i="1" s="1"/>
  <c r="G75" i="1" s="1"/>
  <c r="J75" i="1" s="1"/>
  <c r="E79" i="1"/>
  <c r="F79" i="1" s="1"/>
  <c r="G79" i="1" s="1"/>
  <c r="K79" i="1" s="1"/>
  <c r="E29" i="1"/>
  <c r="F29" i="1" s="1"/>
  <c r="G29" i="1" s="1"/>
  <c r="H29" i="1" s="1"/>
  <c r="E37" i="1"/>
  <c r="E42" i="2" s="1"/>
  <c r="E45" i="1"/>
  <c r="F45" i="1" s="1"/>
  <c r="E57" i="1"/>
  <c r="F57" i="1" s="1"/>
  <c r="E53" i="1"/>
  <c r="F53" i="1" s="1"/>
  <c r="G53" i="1" s="1"/>
  <c r="I53" i="1" s="1"/>
  <c r="E61" i="1"/>
  <c r="F61" i="1" s="1"/>
  <c r="E70" i="1"/>
  <c r="F70" i="1" s="1"/>
  <c r="E26" i="1"/>
  <c r="E31" i="2" s="1"/>
  <c r="E34" i="1"/>
  <c r="F34" i="1" s="1"/>
  <c r="E42" i="1"/>
  <c r="F42" i="1" s="1"/>
  <c r="E50" i="1"/>
  <c r="F50" i="1" s="1"/>
  <c r="G50" i="1" s="1"/>
  <c r="I50" i="1" s="1"/>
  <c r="E67" i="1"/>
  <c r="E63" i="2" s="1"/>
  <c r="E73" i="1"/>
  <c r="E64" i="2" s="1"/>
  <c r="E81" i="1"/>
  <c r="F81" i="1" s="1"/>
  <c r="G81" i="1" s="1"/>
  <c r="K81" i="1" s="1"/>
  <c r="E23" i="1"/>
  <c r="F23" i="1" s="1"/>
  <c r="E31" i="1"/>
  <c r="F31" i="1" s="1"/>
  <c r="E39" i="1"/>
  <c r="E44" i="2" s="1"/>
  <c r="E47" i="1"/>
  <c r="F47" i="1" s="1"/>
  <c r="G47" i="1" s="1"/>
  <c r="H47" i="1" s="1"/>
  <c r="E60" i="1"/>
  <c r="F60" i="1" s="1"/>
  <c r="E56" i="1"/>
  <c r="E13" i="2" s="1"/>
  <c r="E66" i="1"/>
  <c r="F66" i="1" s="1"/>
  <c r="E68" i="1"/>
  <c r="F68" i="1" s="1"/>
  <c r="G68" i="1" s="1"/>
  <c r="K68" i="1" s="1"/>
  <c r="E76" i="1"/>
  <c r="F76" i="1" s="1"/>
  <c r="G76" i="1" s="1"/>
  <c r="I76" i="1" s="1"/>
  <c r="E28" i="1"/>
  <c r="F28" i="1" s="1"/>
  <c r="E36" i="1"/>
  <c r="F36" i="1" s="1"/>
  <c r="E44" i="1"/>
  <c r="F44" i="1" s="1"/>
  <c r="E52" i="1"/>
  <c r="E57" i="2" s="1"/>
  <c r="E71" i="1"/>
  <c r="F71" i="1" s="1"/>
  <c r="E25" i="1"/>
  <c r="E30" i="2" s="1"/>
  <c r="E33" i="1"/>
  <c r="E38" i="2" s="1"/>
  <c r="E41" i="1"/>
  <c r="F41" i="1" s="1"/>
  <c r="G41" i="1" s="1"/>
  <c r="H41" i="1" s="1"/>
  <c r="E49" i="1"/>
  <c r="E54" i="2" s="1"/>
  <c r="E59" i="1"/>
  <c r="F59" i="1" s="1"/>
  <c r="G59" i="1" s="1"/>
  <c r="J59" i="1" s="1"/>
  <c r="E64" i="1"/>
  <c r="E16" i="2" s="1"/>
  <c r="E22" i="2"/>
  <c r="E58" i="2"/>
  <c r="E56" i="2"/>
  <c r="E47" i="2"/>
  <c r="E51" i="2"/>
  <c r="E45" i="2"/>
  <c r="E49" i="2"/>
  <c r="E50" i="2"/>
  <c r="F62" i="1"/>
  <c r="E62" i="2"/>
  <c r="E46" i="2" l="1"/>
  <c r="E55" i="2"/>
  <c r="E35" i="2"/>
  <c r="E33" i="2"/>
  <c r="E19" i="2"/>
  <c r="E25" i="2"/>
  <c r="E60" i="2"/>
  <c r="E29" i="2"/>
  <c r="E15" i="2"/>
  <c r="X6" i="1"/>
  <c r="X7" i="1" s="1"/>
  <c r="X8" i="1" s="1"/>
  <c r="X9" i="1" s="1"/>
  <c r="Y5" i="1"/>
  <c r="W11" i="1"/>
  <c r="E18" i="2"/>
  <c r="G65" i="1"/>
  <c r="K65" i="1" s="1"/>
  <c r="P65" i="1"/>
  <c r="E14" i="2"/>
  <c r="F52" i="1"/>
  <c r="G52" i="1" s="1"/>
  <c r="I52" i="1" s="1"/>
  <c r="E26" i="2"/>
  <c r="E34" i="2"/>
  <c r="E24" i="2"/>
  <c r="E65" i="2"/>
  <c r="E36" i="2"/>
  <c r="E20" i="2"/>
  <c r="P44" i="1"/>
  <c r="G44" i="1"/>
  <c r="H44" i="1" s="1"/>
  <c r="E11" i="2"/>
  <c r="E21" i="2"/>
  <c r="E48" i="2"/>
  <c r="E52" i="2"/>
  <c r="E23" i="2"/>
  <c r="F67" i="1"/>
  <c r="G67" i="1" s="1"/>
  <c r="I67" i="1" s="1"/>
  <c r="F64" i="1"/>
  <c r="F56" i="1"/>
  <c r="F54" i="1"/>
  <c r="G54" i="1" s="1"/>
  <c r="I54" i="1" s="1"/>
  <c r="F25" i="1"/>
  <c r="G25" i="1" s="1"/>
  <c r="H25" i="1" s="1"/>
  <c r="F26" i="1"/>
  <c r="G26" i="1" s="1"/>
  <c r="H26" i="1" s="1"/>
  <c r="F27" i="1"/>
  <c r="P27" i="1" s="1"/>
  <c r="E40" i="2"/>
  <c r="G82" i="1"/>
  <c r="K82" i="1" s="1"/>
  <c r="P82" i="1"/>
  <c r="W14" i="1"/>
  <c r="W7" i="1"/>
  <c r="P21" i="1"/>
  <c r="R21" i="1" s="1"/>
  <c r="W12" i="1"/>
  <c r="P45" i="1"/>
  <c r="P43" i="1"/>
  <c r="R43" i="1" s="1"/>
  <c r="P46" i="1"/>
  <c r="R46" i="1" s="1"/>
  <c r="W17" i="1"/>
  <c r="W3" i="1"/>
  <c r="Y3" i="1"/>
  <c r="P63" i="1"/>
  <c r="R63" i="1" s="1"/>
  <c r="T63" i="1" s="1"/>
  <c r="W9" i="1"/>
  <c r="Y7" i="1"/>
  <c r="P68" i="1"/>
  <c r="R68" i="1" s="1"/>
  <c r="T68" i="1" s="1"/>
  <c r="P50" i="1"/>
  <c r="R50" i="1" s="1"/>
  <c r="P41" i="1"/>
  <c r="R41" i="1" s="1"/>
  <c r="W6" i="1"/>
  <c r="P31" i="1"/>
  <c r="P72" i="1"/>
  <c r="R72" i="1" s="1"/>
  <c r="T72" i="1" s="1"/>
  <c r="W5" i="1"/>
  <c r="P75" i="1"/>
  <c r="R75" i="1" s="1"/>
  <c r="T75" i="1" s="1"/>
  <c r="P29" i="1"/>
  <c r="R29" i="1" s="1"/>
  <c r="P53" i="1"/>
  <c r="R53" i="1" s="1"/>
  <c r="P59" i="1"/>
  <c r="R59" i="1" s="1"/>
  <c r="T59" i="1" s="1"/>
  <c r="P56" i="1"/>
  <c r="Y4" i="1"/>
  <c r="Y2" i="1"/>
  <c r="W13" i="1"/>
  <c r="P30" i="1"/>
  <c r="R30" i="1" s="1"/>
  <c r="Y8" i="1"/>
  <c r="P57" i="1"/>
  <c r="W8" i="1"/>
  <c r="W16" i="1"/>
  <c r="P81" i="1"/>
  <c r="R81" i="1" s="1"/>
  <c r="T81" i="1" s="1"/>
  <c r="W10" i="1"/>
  <c r="P76" i="1"/>
  <c r="P62" i="1"/>
  <c r="W2" i="1"/>
  <c r="W4" i="1"/>
  <c r="Y6" i="1"/>
  <c r="P47" i="1"/>
  <c r="R47" i="1" s="1"/>
  <c r="P80" i="1"/>
  <c r="P61" i="1"/>
  <c r="G61" i="1"/>
  <c r="J61" i="1" s="1"/>
  <c r="G40" i="1"/>
  <c r="H40" i="1" s="1"/>
  <c r="P40" i="1"/>
  <c r="G66" i="1"/>
  <c r="J66" i="1" s="1"/>
  <c r="P66" i="1"/>
  <c r="P79" i="1"/>
  <c r="R79" i="1" s="1"/>
  <c r="T79" i="1" s="1"/>
  <c r="P78" i="1"/>
  <c r="R78" i="1" s="1"/>
  <c r="T78" i="1" s="1"/>
  <c r="P36" i="1"/>
  <c r="G36" i="1"/>
  <c r="H36" i="1" s="1"/>
  <c r="G69" i="1"/>
  <c r="K69" i="1" s="1"/>
  <c r="P69" i="1"/>
  <c r="G71" i="1"/>
  <c r="J71" i="1" s="1"/>
  <c r="P71" i="1"/>
  <c r="R76" i="1"/>
  <c r="T76" i="1" s="1"/>
  <c r="P60" i="1"/>
  <c r="G60" i="1"/>
  <c r="J60" i="1" s="1"/>
  <c r="G34" i="1"/>
  <c r="H34" i="1" s="1"/>
  <c r="P34" i="1"/>
  <c r="G23" i="1"/>
  <c r="H23" i="1" s="1"/>
  <c r="P23" i="1"/>
  <c r="G38" i="1"/>
  <c r="H38" i="1" s="1"/>
  <c r="P38" i="1"/>
  <c r="P28" i="1"/>
  <c r="G28" i="1"/>
  <c r="H28" i="1" s="1"/>
  <c r="P51" i="1"/>
  <c r="G51" i="1"/>
  <c r="I51" i="1" s="1"/>
  <c r="G77" i="1"/>
  <c r="K77" i="1" s="1"/>
  <c r="P77" i="1"/>
  <c r="G22" i="1"/>
  <c r="H22" i="1" s="1"/>
  <c r="P22" i="1"/>
  <c r="P42" i="1"/>
  <c r="G42" i="1"/>
  <c r="H42" i="1" s="1"/>
  <c r="P84" i="1"/>
  <c r="G84" i="1"/>
  <c r="K84" i="1" s="1"/>
  <c r="G55" i="1"/>
  <c r="I55" i="1" s="1"/>
  <c r="P55" i="1"/>
  <c r="P35" i="1"/>
  <c r="G35" i="1"/>
  <c r="H35" i="1" s="1"/>
  <c r="G74" i="1"/>
  <c r="K74" i="1" s="1"/>
  <c r="P74" i="1"/>
  <c r="G24" i="1"/>
  <c r="H24" i="1" s="1"/>
  <c r="P24" i="1"/>
  <c r="G70" i="1"/>
  <c r="J70" i="1" s="1"/>
  <c r="P70" i="1"/>
  <c r="G45" i="1"/>
  <c r="H45" i="1" s="1"/>
  <c r="G62" i="1"/>
  <c r="K62" i="1" s="1"/>
  <c r="E27" i="2"/>
  <c r="E43" i="2"/>
  <c r="G27" i="1"/>
  <c r="H27" i="1" s="1"/>
  <c r="R80" i="1"/>
  <c r="T80" i="1" s="1"/>
  <c r="E61" i="2"/>
  <c r="F37" i="1"/>
  <c r="E28" i="2"/>
  <c r="E17" i="2"/>
  <c r="E41" i="2"/>
  <c r="E39" i="2"/>
  <c r="F49" i="1"/>
  <c r="F33" i="1"/>
  <c r="F39" i="1"/>
  <c r="F73" i="1"/>
  <c r="F48" i="1"/>
  <c r="F32" i="1"/>
  <c r="F58" i="1"/>
  <c r="G56" i="1"/>
  <c r="I56" i="1" s="1"/>
  <c r="G31" i="1"/>
  <c r="H31" i="1" s="1"/>
  <c r="G57" i="1"/>
  <c r="J57" i="1" s="1"/>
  <c r="G85" i="1"/>
  <c r="K85" i="1" s="1"/>
  <c r="P85" i="1"/>
  <c r="G83" i="1"/>
  <c r="P83" i="1"/>
  <c r="W15" i="1"/>
  <c r="R65" i="1" l="1"/>
  <c r="T65" i="1" s="1"/>
  <c r="X10" i="1"/>
  <c r="Y9" i="1"/>
  <c r="R44" i="1"/>
  <c r="P52" i="1"/>
  <c r="R52" i="1" s="1"/>
  <c r="P25" i="1"/>
  <c r="R25" i="1" s="1"/>
  <c r="R34" i="1"/>
  <c r="P54" i="1"/>
  <c r="R54" i="1" s="1"/>
  <c r="R70" i="1"/>
  <c r="T70" i="1" s="1"/>
  <c r="R55" i="1"/>
  <c r="R77" i="1"/>
  <c r="T77" i="1" s="1"/>
  <c r="R27" i="1"/>
  <c r="P26" i="1"/>
  <c r="R26" i="1" s="1"/>
  <c r="P67" i="1"/>
  <c r="R67" i="1" s="1"/>
  <c r="T67" i="1" s="1"/>
  <c r="R85" i="1"/>
  <c r="T85" i="1" s="1"/>
  <c r="R22" i="1"/>
  <c r="R61" i="1"/>
  <c r="T61" i="1" s="1"/>
  <c r="R56" i="1"/>
  <c r="R57" i="1"/>
  <c r="T57" i="1" s="1"/>
  <c r="R69" i="1"/>
  <c r="T69" i="1" s="1"/>
  <c r="R66" i="1"/>
  <c r="T66" i="1" s="1"/>
  <c r="R40" i="1"/>
  <c r="G64" i="1"/>
  <c r="J64" i="1" s="1"/>
  <c r="P64" i="1"/>
  <c r="R74" i="1"/>
  <c r="T74" i="1" s="1"/>
  <c r="R82" i="1"/>
  <c r="T82" i="1" s="1"/>
  <c r="G73" i="1"/>
  <c r="P73" i="1"/>
  <c r="R84" i="1"/>
  <c r="T84" i="1" s="1"/>
  <c r="P39" i="1"/>
  <c r="G39" i="1"/>
  <c r="H39" i="1" s="1"/>
  <c r="R51" i="1"/>
  <c r="G33" i="1"/>
  <c r="H33" i="1" s="1"/>
  <c r="P33" i="1"/>
  <c r="R42" i="1"/>
  <c r="G49" i="1"/>
  <c r="I49" i="1" s="1"/>
  <c r="P49" i="1"/>
  <c r="R28" i="1"/>
  <c r="R36" i="1"/>
  <c r="P37" i="1"/>
  <c r="G37" i="1"/>
  <c r="H37" i="1" s="1"/>
  <c r="G58" i="1"/>
  <c r="J58" i="1" s="1"/>
  <c r="P58" i="1"/>
  <c r="R35" i="1"/>
  <c r="R38" i="1"/>
  <c r="R60" i="1"/>
  <c r="T60" i="1" s="1"/>
  <c r="R62" i="1"/>
  <c r="T62" i="1" s="1"/>
  <c r="D16" i="1"/>
  <c r="D19" i="1" s="1"/>
  <c r="G32" i="1"/>
  <c r="H32" i="1" s="1"/>
  <c r="P32" i="1"/>
  <c r="R45" i="1"/>
  <c r="D15" i="1"/>
  <c r="C19" i="1" s="1"/>
  <c r="G48" i="1"/>
  <c r="I48" i="1" s="1"/>
  <c r="P48" i="1"/>
  <c r="R48" i="1" s="1"/>
  <c r="R24" i="1"/>
  <c r="R23" i="1"/>
  <c r="R71" i="1"/>
  <c r="T71" i="1" s="1"/>
  <c r="R31" i="1"/>
  <c r="R83" i="1"/>
  <c r="T83" i="1" s="1"/>
  <c r="K83" i="1"/>
  <c r="C12" i="1"/>
  <c r="C11" i="1"/>
  <c r="X11" i="1" l="1"/>
  <c r="Y10" i="1"/>
  <c r="O65" i="1"/>
  <c r="R73" i="1"/>
  <c r="T73" i="1" s="1"/>
  <c r="R64" i="1"/>
  <c r="T64" i="1" s="1"/>
  <c r="O82" i="1"/>
  <c r="C16" i="1"/>
  <c r="D18" i="1" s="1"/>
  <c r="O70" i="1"/>
  <c r="O66" i="1"/>
  <c r="O84" i="1"/>
  <c r="O49" i="1"/>
  <c r="O63" i="1"/>
  <c r="O80" i="1"/>
  <c r="O69" i="1"/>
  <c r="O25" i="1"/>
  <c r="O78" i="1"/>
  <c r="O43" i="1"/>
  <c r="O71" i="1"/>
  <c r="O30" i="1"/>
  <c r="O24" i="1"/>
  <c r="O52" i="1"/>
  <c r="O83" i="1"/>
  <c r="O73" i="1"/>
  <c r="O75" i="1"/>
  <c r="O51" i="1"/>
  <c r="O46" i="1"/>
  <c r="O74" i="1"/>
  <c r="O54" i="1"/>
  <c r="O29" i="1"/>
  <c r="O85" i="1"/>
  <c r="O28" i="1"/>
  <c r="O50" i="1"/>
  <c r="O48" i="1"/>
  <c r="O67" i="1"/>
  <c r="O59" i="1"/>
  <c r="O45" i="1"/>
  <c r="O72" i="1"/>
  <c r="O22" i="1"/>
  <c r="O21" i="1"/>
  <c r="O40" i="1"/>
  <c r="O76" i="1"/>
  <c r="O53" i="1"/>
  <c r="O23" i="1"/>
  <c r="O55" i="1"/>
  <c r="O58" i="1"/>
  <c r="O26" i="1"/>
  <c r="O60" i="1"/>
  <c r="O34" i="1"/>
  <c r="O33" i="1"/>
  <c r="O57" i="1"/>
  <c r="O77" i="1"/>
  <c r="O68" i="1"/>
  <c r="O44" i="1"/>
  <c r="O38" i="1"/>
  <c r="O36" i="1"/>
  <c r="O56" i="1"/>
  <c r="O64" i="1"/>
  <c r="O37" i="1"/>
  <c r="O41" i="1"/>
  <c r="O47" i="1"/>
  <c r="O35" i="1"/>
  <c r="O61" i="1"/>
  <c r="C15" i="1"/>
  <c r="O42" i="1"/>
  <c r="O39" i="1"/>
  <c r="O32" i="1"/>
  <c r="O79" i="1"/>
  <c r="O81" i="1"/>
  <c r="O31" i="1"/>
  <c r="O62" i="1"/>
  <c r="O27" i="1"/>
  <c r="R37" i="1"/>
  <c r="R39" i="1"/>
  <c r="R49" i="1"/>
  <c r="R58" i="1"/>
  <c r="T58" i="1" s="1"/>
  <c r="I73" i="1"/>
  <c r="R32" i="1"/>
  <c r="R33" i="1"/>
  <c r="X12" i="1" l="1"/>
  <c r="Y11" i="1"/>
  <c r="F6" i="1"/>
  <c r="F8" i="1" s="1"/>
  <c r="E14" i="1"/>
  <c r="C18" i="1"/>
  <c r="X13" i="1" l="1"/>
  <c r="Y12" i="1"/>
  <c r="F7" i="1"/>
  <c r="X14" i="1" l="1"/>
  <c r="Y13" i="1"/>
  <c r="X15" i="1" l="1"/>
  <c r="Y14" i="1"/>
  <c r="X16" i="1" l="1"/>
  <c r="Y15" i="1"/>
  <c r="X17" i="1" l="1"/>
  <c r="Y17" i="1" s="1"/>
  <c r="Y16" i="1"/>
</calcChain>
</file>

<file path=xl/sharedStrings.xml><?xml version="1.0" encoding="utf-8"?>
<sst xmlns="http://schemas.openxmlformats.org/spreadsheetml/2006/main" count="650" uniqueCount="295">
  <si>
    <t>VSB-063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</si>
  <si>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</si>
  <si>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</si>
  <si>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</si>
  <si>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</si>
  <si>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</si>
  <si>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</si>
  <si>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</si>
  <si>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</si>
  <si>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</si>
  <si>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</si>
  <si>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</si>
  <si>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</si>
  <si>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</si>
  <si>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</si>
  <si>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</si>
  <si>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</si>
  <si>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</si>
  <si>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</si>
  <si>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</si>
  <si>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</si>
  <si>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</si>
  <si>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</si>
  <si>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</si>
  <si>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</si>
  <si>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</si>
  <si>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</si>
  <si>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</si>
  <si>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</si>
  <si>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</si>
  <si>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Bull...19</t>
  </si>
  <si>
    <t>BBSAG Bull.4</t>
  </si>
  <si>
    <t>IBVS 4912</t>
  </si>
  <si>
    <t># of data points:</t>
  </si>
  <si>
    <t>AK Cam / gsc 4540-0673</t>
  </si>
  <si>
    <t>EA/SD:</t>
  </si>
  <si>
    <t>IBVS 5731</t>
  </si>
  <si>
    <t>My time zone &gt;&gt;&gt;&gt;&gt;</t>
  </si>
  <si>
    <t>JD today</t>
  </si>
  <si>
    <t>New Cycle</t>
  </si>
  <si>
    <t>Start of linear fit &gt;&gt;&gt;&gt;&gt;&gt;&gt;&gt;&gt;&gt;&gt;&gt;&gt;&gt;&gt;&gt;&gt;&gt;&gt;&gt;&gt;</t>
  </si>
  <si>
    <t>I</t>
  </si>
  <si>
    <t>IBVS 5837</t>
  </si>
  <si>
    <t>IBVS 5974</t>
  </si>
  <si>
    <t>Add cycle</t>
  </si>
  <si>
    <t>Old Cycle</t>
  </si>
  <si>
    <t>IBVS 5918</t>
  </si>
  <si>
    <t>IBVS 6010</t>
  </si>
  <si>
    <t>II</t>
  </si>
  <si>
    <t>IBVS 6029</t>
  </si>
  <si>
    <t>IBVS 6075</t>
  </si>
  <si>
    <t>IBVS 6118</t>
  </si>
  <si>
    <t>IBVS 6149</t>
  </si>
  <si>
    <t>pg</t>
  </si>
  <si>
    <t>vis</t>
  </si>
  <si>
    <t>PE</t>
  </si>
  <si>
    <t>CCD</t>
  </si>
  <si>
    <t>wt</t>
  </si>
  <si>
    <t>BAD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</si>
  <si>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</si>
  <si>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</si>
  <si>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</si>
  <si>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</si>
  <si>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</si>
  <si>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</si>
  <si>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</si>
  <si>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2426393.300 </t>
  </si>
  <si>
    <t> 20.02.1931 19:12 </t>
  </si>
  <si>
    <t> 0.358 </t>
  </si>
  <si>
    <t>P </t>
  </si>
  <si>
    <t> W.Strohmeier </t>
  </si>
  <si>
    <t> VB 5.3 </t>
  </si>
  <si>
    <t>2426415.359 </t>
  </si>
  <si>
    <t> 14.03.1931 20:36 </t>
  </si>
  <si>
    <t> 0.149 </t>
  </si>
  <si>
    <t>2426444.442 </t>
  </si>
  <si>
    <t> 12.04.1931 22:36 </t>
  </si>
  <si>
    <t> 0.283 </t>
  </si>
  <si>
    <t>2426631.403 </t>
  </si>
  <si>
    <t> 16.10.1931 21:40 </t>
  </si>
  <si>
    <t> 0.191 </t>
  </si>
  <si>
    <t>2426631.425 </t>
  </si>
  <si>
    <t> 16.10.1931 22:12 </t>
  </si>
  <si>
    <t> 0.213 </t>
  </si>
  <si>
    <t>2426651.530 </t>
  </si>
  <si>
    <t> 06.11.1931 00:43 </t>
  </si>
  <si>
    <t> 0.277 </t>
  </si>
  <si>
    <t>2426769.456 </t>
  </si>
  <si>
    <t> 02.03.1932 22:56 </t>
  </si>
  <si>
    <t> 0.181 </t>
  </si>
  <si>
    <t>2427535.424 </t>
  </si>
  <si>
    <t> 07.04.1934 22:10 </t>
  </si>
  <si>
    <t> 0.123 </t>
  </si>
  <si>
    <t>2427544.388 </t>
  </si>
  <si>
    <t> 16.04.1934 21:18 </t>
  </si>
  <si>
    <t> 0.180 </t>
  </si>
  <si>
    <t>2428183.425 </t>
  </si>
  <si>
    <t> 15.01.1936 22:12 </t>
  </si>
  <si>
    <t> 0.120 </t>
  </si>
  <si>
    <t>2428693.435 </t>
  </si>
  <si>
    <t> 08.06.1937 22:26 </t>
  </si>
  <si>
    <t> 0.188 </t>
  </si>
  <si>
    <t>2429163.385 </t>
  </si>
  <si>
    <t> 21.09.1938 21:14 </t>
  </si>
  <si>
    <t> 0.279 </t>
  </si>
  <si>
    <t>2429194.459 </t>
  </si>
  <si>
    <t> 22.10.1938 23:00 </t>
  </si>
  <si>
    <t> 0.177 </t>
  </si>
  <si>
    <t> W.Wallbrecht </t>
  </si>
  <si>
    <t>2429194.531 </t>
  </si>
  <si>
    <t> 23.10.1938 00:44 </t>
  </si>
  <si>
    <t> 0.249 </t>
  </si>
  <si>
    <t>2429341.401 </t>
  </si>
  <si>
    <t> 18.03.1939 21:37 </t>
  </si>
  <si>
    <t>2429499.544 </t>
  </si>
  <si>
    <t> 24.08.1939 01:03 </t>
  </si>
  <si>
    <t>2429546.308 </t>
  </si>
  <si>
    <t> 09.10.1939 19:23 </t>
  </si>
  <si>
    <t> 0.189 </t>
  </si>
  <si>
    <t>2429619.728 </t>
  </si>
  <si>
    <t> 22.12.1939 05:28 </t>
  </si>
  <si>
    <t> 0.124 </t>
  </si>
  <si>
    <t>2430254.483 </t>
  </si>
  <si>
    <t> 16.09.1941 23:35 </t>
  </si>
  <si>
    <t> 0.235 </t>
  </si>
  <si>
    <t>2430558.386 </t>
  </si>
  <si>
    <t> 17.07.1942 21:15 </t>
  </si>
  <si>
    <t>2430608.500 </t>
  </si>
  <si>
    <t> 06.09.1942 00:00 </t>
  </si>
  <si>
    <t>2430795.554 </t>
  </si>
  <si>
    <t> 12.03.1943 01:17 </t>
  </si>
  <si>
    <t>2430813.440 </t>
  </si>
  <si>
    <t> 29.03.1943 22:33 </t>
  </si>
  <si>
    <t> 0.260 </t>
  </si>
  <si>
    <t>2435988.401 </t>
  </si>
  <si>
    <t> 29.05.1957 21:37 </t>
  </si>
  <si>
    <t> 0.091 </t>
  </si>
  <si>
    <t>2436607.398 </t>
  </si>
  <si>
    <t> 07.02.1959 21:33 </t>
  </si>
  <si>
    <t> 0.033 </t>
  </si>
  <si>
    <t>2436607.440 </t>
  </si>
  <si>
    <t> 07.02.1959 22:33 </t>
  </si>
  <si>
    <t> 0.075 </t>
  </si>
  <si>
    <t>2436607.490 </t>
  </si>
  <si>
    <t> 07.02.1959 23:45 </t>
  </si>
  <si>
    <t> 0.125 </t>
  </si>
  <si>
    <t>2439248.433 </t>
  </si>
  <si>
    <t> 02.05.1966 22:23 </t>
  </si>
  <si>
    <t> 0.059 </t>
  </si>
  <si>
    <t>V </t>
  </si>
  <si>
    <t> J.Hübscher </t>
  </si>
  <si>
    <t>BAVM 23 </t>
  </si>
  <si>
    <t>2439248.487 </t>
  </si>
  <si>
    <t> 02.05.1966 23:41 </t>
  </si>
  <si>
    <t> 0.113 </t>
  </si>
  <si>
    <t> W.Braune </t>
  </si>
  <si>
    <t>2439257.392 </t>
  </si>
  <si>
    <t> 11.05.1966 21:24 </t>
  </si>
  <si>
    <t> 0.111 </t>
  </si>
  <si>
    <t>2439257.394 </t>
  </si>
  <si>
    <t> 11.05.1966 21:27 </t>
  </si>
  <si>
    <t>2440073.359 </t>
  </si>
  <si>
    <t> 04.08.1968 20:36 </t>
  </si>
  <si>
    <t> -0.052 </t>
  </si>
  <si>
    <t>2440288.381 </t>
  </si>
  <si>
    <t> 07.03.1969 21:08 </t>
  </si>
  <si>
    <t> 0.082 </t>
  </si>
  <si>
    <t> H.Peter </t>
  </si>
  <si>
    <t> ORI 114 </t>
  </si>
  <si>
    <t>2440437.593 </t>
  </si>
  <si>
    <t> 04.08.1969 02:13 </t>
  </si>
  <si>
    <t> 0.097 </t>
  </si>
  <si>
    <t>2441515.446 </t>
  </si>
  <si>
    <t> 16.07.1972 22:42 </t>
  </si>
  <si>
    <t> 0.169 </t>
  </si>
  <si>
    <t> BBS 4 </t>
  </si>
  <si>
    <t>2447819.4297 </t>
  </si>
  <si>
    <t> 19.10.1989 22:18 </t>
  </si>
  <si>
    <t> 0.0255 </t>
  </si>
  <si>
    <t>E </t>
  </si>
  <si>
    <t>B;V</t>
  </si>
  <si>
    <t> F.Agerer </t>
  </si>
  <si>
    <t>BAVM 56 </t>
  </si>
  <si>
    <t>2448329.3756 </t>
  </si>
  <si>
    <t> 13.03.1991 21:00 </t>
  </si>
  <si>
    <t> 0.0296 </t>
  </si>
  <si>
    <t>BAVM 59 </t>
  </si>
  <si>
    <t>2449086.4841 </t>
  </si>
  <si>
    <t> 08.04.1993 23:37 </t>
  </si>
  <si>
    <t> 0.0193 </t>
  </si>
  <si>
    <t>o</t>
  </si>
  <si>
    <t>BAVM 62 </t>
  </si>
  <si>
    <t>2449371.5147 </t>
  </si>
  <si>
    <t> 19.01.1994 00:21 </t>
  </si>
  <si>
    <t> 0.0170 </t>
  </si>
  <si>
    <t>BAVM 68 </t>
  </si>
  <si>
    <t>2451197.4949 </t>
  </si>
  <si>
    <t> 18.01.1999 23:52 </t>
  </si>
  <si>
    <t> 0.0048 </t>
  </si>
  <si>
    <t> D.Husar </t>
  </si>
  <si>
    <t>BAVM 128 </t>
  </si>
  <si>
    <t>2452001.3733 </t>
  </si>
  <si>
    <t> 01.04.2001 20:57 </t>
  </si>
  <si>
    <t> 0.0012 </t>
  </si>
  <si>
    <t>?</t>
  </si>
  <si>
    <t> R.Diethelm </t>
  </si>
  <si>
    <t> BBS 125 </t>
  </si>
  <si>
    <t>2453867.4460 </t>
  </si>
  <si>
    <t> 11.05.2006 22:42 </t>
  </si>
  <si>
    <t> -0.0013 </t>
  </si>
  <si>
    <t>C </t>
  </si>
  <si>
    <t>-I</t>
  </si>
  <si>
    <t>BAVM 178 </t>
  </si>
  <si>
    <t>2454504.3143 </t>
  </si>
  <si>
    <t> 07.02.2008 19:32 </t>
  </si>
  <si>
    <t>-199</t>
  </si>
  <si>
    <t> -0.0035 </t>
  </si>
  <si>
    <t>IBVS 5837 </t>
  </si>
  <si>
    <t>2454947.4553 </t>
  </si>
  <si>
    <t> 25.04.2009 22:55 </t>
  </si>
  <si>
    <t>0</t>
  </si>
  <si>
    <t> 0.0003 </t>
  </si>
  <si>
    <t>BAVM 209 </t>
  </si>
  <si>
    <t>2455207.9916 </t>
  </si>
  <si>
    <t> 11.01.2010 11:47 </t>
  </si>
  <si>
    <t>117</t>
  </si>
  <si>
    <t>Rc</t>
  </si>
  <si>
    <t> K.Shiokawa </t>
  </si>
  <si>
    <t>VSB 51 </t>
  </si>
  <si>
    <t>2455263.6608 </t>
  </si>
  <si>
    <t> 08.03.2010 03:51 </t>
  </si>
  <si>
    <t>142</t>
  </si>
  <si>
    <t> -0.0026 </t>
  </si>
  <si>
    <t> S.Dvorak </t>
  </si>
  <si>
    <t>IBVS 5974 </t>
  </si>
  <si>
    <t>2455624.4063 </t>
  </si>
  <si>
    <t> 03.03.2011 21:45 </t>
  </si>
  <si>
    <t>304</t>
  </si>
  <si>
    <t> -0.0020 </t>
  </si>
  <si>
    <t>BAVM 220 </t>
  </si>
  <si>
    <t>2455654.4705 </t>
  </si>
  <si>
    <t> 02.04.2011 23:17 </t>
  </si>
  <si>
    <t>317.5</t>
  </si>
  <si>
    <t> 0.0002 </t>
  </si>
  <si>
    <t>2455908.3271 </t>
  </si>
  <si>
    <t> 12.12.2011 19:51 </t>
  </si>
  <si>
    <t>431.5</t>
  </si>
  <si>
    <t> -0.0007 </t>
  </si>
  <si>
    <t>m</t>
  </si>
  <si>
    <t> A.Okan et al. </t>
  </si>
  <si>
    <t>IBVS 6075 </t>
  </si>
  <si>
    <t>2455936.1613 </t>
  </si>
  <si>
    <t> 09.01.2012 15:52 </t>
  </si>
  <si>
    <t>444</t>
  </si>
  <si>
    <t> -0.0018 </t>
  </si>
  <si>
    <t>VSB 55 </t>
  </si>
  <si>
    <t>2456009.6457 </t>
  </si>
  <si>
    <t> 23.03.2012 03:29 </t>
  </si>
  <si>
    <t>477</t>
  </si>
  <si>
    <t> -0.0024 </t>
  </si>
  <si>
    <t>IBVS 6029 </t>
  </si>
  <si>
    <t>2456281.3185 </t>
  </si>
  <si>
    <t> 19.12.2012 19:38 </t>
  </si>
  <si>
    <t>599</t>
  </si>
  <si>
    <t> -0.0017 </t>
  </si>
  <si>
    <t> H.Jungbluth </t>
  </si>
  <si>
    <t>BAVM 234 </t>
  </si>
  <si>
    <t>2456662.1055 </t>
  </si>
  <si>
    <t> 04.01.2014 14:31 </t>
  </si>
  <si>
    <t>770</t>
  </si>
  <si>
    <t> -0.0009 </t>
  </si>
  <si>
    <t> H.Itoh </t>
  </si>
  <si>
    <t>VSB 59 </t>
  </si>
  <si>
    <t>2456725.5760 </t>
  </si>
  <si>
    <t> 09.03.2014 01:49 </t>
  </si>
  <si>
    <t>798.5</t>
  </si>
  <si>
    <t> 0.0052 </t>
  </si>
  <si>
    <t>BAVM 238 </t>
  </si>
  <si>
    <t>2456734.4850 </t>
  </si>
  <si>
    <t> 17.03.2014 23:38 </t>
  </si>
  <si>
    <t>802.5</t>
  </si>
  <si>
    <t> 0.0069 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</si>
  <si>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</si>
  <si>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</si>
  <si>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</si>
  <si>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</si>
  <si>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RHN 2021</t>
  </si>
  <si>
    <t>OEJV 226</t>
  </si>
  <si>
    <t>OEJV 234</t>
  </si>
  <si>
    <t>BAV 91 Feb 2024</t>
  </si>
  <si>
    <t>Next ToM-P</t>
  </si>
  <si>
    <t>Next ToM-S</t>
  </si>
  <si>
    <t>10.30-10.90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</si>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</sst>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9" fillId="0" borderId="28" xfId="0" applyFont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6" fillId="25" borderId="26" xfId="0" applyFont="1" applyFill="1" applyBorder="1" applyAlignment="1">
      <alignment horizontal="right" vertical="center"/>
    </xf>
    <xf numFmtId="0" fontId="40" fillId="0" borderId="29" xfId="0" applyFont="1" applyBorder="1" applyAlignment="1">
      <alignment horizontal="right" vertical="center"/>
    </xf>
    <xf numFmtId="0" fontId="6" fillId="25" borderId="27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right" vertical="center"/>
    </xf>
    <xf numFmtId="22" fontId="41" fillId="0" borderId="29" xfId="0" applyNumberFormat="1" applyFont="1" applyBorder="1" applyAlignment="1">
      <alignment horizontal="right" vertical="center"/>
    </xf>
    <xf numFmtId="22" fontId="41" fillId="0" borderId="3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Cam - O-C Diagr.</a:t>
            </a:r>
          </a:p>
        </c:rich>
      </c:tx>
      <c:layout>
        <c:manualLayout>
          <c:xMode val="edge"/>
          <c:yMode val="edge"/>
          <c:x val="0.3644219602083418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4085228830793"/>
          <c:y val="0.14634168126798494"/>
          <c:w val="0.82120150856312568"/>
          <c:h val="0.69075295275590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0.14865999999892665</c:v>
                </c:pt>
                <c:pt idx="2">
                  <c:v>0.28299999999944703</c:v>
                </c:pt>
                <c:pt idx="3">
                  <c:v>0.1911199999958626</c:v>
                </c:pt>
                <c:pt idx="4">
                  <c:v>0.21311999999670661</c:v>
                </c:pt>
                <c:pt idx="5">
                  <c:v>0.27673999999751686</c:v>
                </c:pt>
                <c:pt idx="6">
                  <c:v>0.18127999999705935</c:v>
                </c:pt>
                <c:pt idx="7">
                  <c:v>0.1231999999981781</c:v>
                </c:pt>
                <c:pt idx="8">
                  <c:v>0.17991999999867403</c:v>
                </c:pt>
                <c:pt idx="9">
                  <c:v>0.11957999999867752</c:v>
                </c:pt>
                <c:pt idx="10">
                  <c:v>0.18779999999969732</c:v>
                </c:pt>
                <c:pt idx="11">
                  <c:v>0.27877999999691383</c:v>
                </c:pt>
                <c:pt idx="12">
                  <c:v>0.1772999999957392</c:v>
                </c:pt>
                <c:pt idx="13">
                  <c:v>0.24929999999585561</c:v>
                </c:pt>
                <c:pt idx="14">
                  <c:v>0.14918000000034226</c:v>
                </c:pt>
                <c:pt idx="15">
                  <c:v>0.18795999999929336</c:v>
                </c:pt>
                <c:pt idx="16">
                  <c:v>0.1887399999977788</c:v>
                </c:pt>
                <c:pt idx="17">
                  <c:v>0.12367999999696622</c:v>
                </c:pt>
                <c:pt idx="18">
                  <c:v>0.23497999999744934</c:v>
                </c:pt>
                <c:pt idx="19">
                  <c:v>0.17704999999841675</c:v>
                </c:pt>
                <c:pt idx="20">
                  <c:v>0.18759999999747379</c:v>
                </c:pt>
                <c:pt idx="21">
                  <c:v>0.18871999999828404</c:v>
                </c:pt>
                <c:pt idx="22">
                  <c:v>0.26015999999799533</c:v>
                </c:pt>
                <c:pt idx="23">
                  <c:v>9.1479999995499384E-2</c:v>
                </c:pt>
                <c:pt idx="24">
                  <c:v>3.2520000000658911E-2</c:v>
                </c:pt>
                <c:pt idx="25">
                  <c:v>7.4520000001939479E-2</c:v>
                </c:pt>
                <c:pt idx="26">
                  <c:v>0.1245199999975739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4-4B41-86F0-72FCE825BD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0.35785999999643536</c:v>
                </c:pt>
                <c:pt idx="27">
                  <c:v>5.8999999993829988E-2</c:v>
                </c:pt>
                <c:pt idx="28">
                  <c:v>0.11299999999755528</c:v>
                </c:pt>
                <c:pt idx="29">
                  <c:v>0.11071999999694526</c:v>
                </c:pt>
                <c:pt idx="30">
                  <c:v>0.11271999999735272</c:v>
                </c:pt>
                <c:pt idx="31">
                  <c:v>-5.1810000004479662E-2</c:v>
                </c:pt>
                <c:pt idx="32">
                  <c:v>8.2060000000637956E-2</c:v>
                </c:pt>
                <c:pt idx="33">
                  <c:v>9.7119999998540152E-2</c:v>
                </c:pt>
                <c:pt idx="34">
                  <c:v>0.11323999999876833</c:v>
                </c:pt>
                <c:pt idx="35">
                  <c:v>0.16924000000290107</c:v>
                </c:pt>
                <c:pt idx="46">
                  <c:v>-1.3400000025285408E-3</c:v>
                </c:pt>
                <c:pt idx="52">
                  <c:v>-1.7799999986891635E-3</c:v>
                </c:pt>
                <c:pt idx="55">
                  <c:v>-9.000000063679181E-4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4-4B41-86F0-72FCE825BD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6">
                  <c:v>2.5520000002870802E-2</c:v>
                </c:pt>
                <c:pt idx="37">
                  <c:v>2.9640000000654254E-2</c:v>
                </c:pt>
                <c:pt idx="38">
                  <c:v>1.9339999998919666E-2</c:v>
                </c:pt>
                <c:pt idx="39">
                  <c:v>1.698000000033062E-2</c:v>
                </c:pt>
                <c:pt idx="40">
                  <c:v>4.7799999956623651E-3</c:v>
                </c:pt>
                <c:pt idx="42">
                  <c:v>-1.2999999962630682E-3</c:v>
                </c:pt>
                <c:pt idx="43">
                  <c:v>-3.5200000056647696E-3</c:v>
                </c:pt>
                <c:pt idx="45">
                  <c:v>2.9999999969732016E-4</c:v>
                </c:pt>
                <c:pt idx="49">
                  <c:v>-1.9800000009126961E-3</c:v>
                </c:pt>
                <c:pt idx="50">
                  <c:v>1.4999999984866008E-4</c:v>
                </c:pt>
                <c:pt idx="54">
                  <c:v>-1.680000001215376E-3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4-4B41-86F0-72FCE825BD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1">
                  <c:v>1.1599999997997656E-3</c:v>
                </c:pt>
                <c:pt idx="44">
                  <c:v>0</c:v>
                </c:pt>
                <c:pt idx="47">
                  <c:v>-2.6400000060675666E-3</c:v>
                </c:pt>
                <c:pt idx="48">
                  <c:v>-2.6400000060675666E-3</c:v>
                </c:pt>
                <c:pt idx="51">
                  <c:v>-7.299999997485429E-4</c:v>
                </c:pt>
                <c:pt idx="53">
                  <c:v>-2.4400000038440339E-3</c:v>
                </c:pt>
                <c:pt idx="56">
                  <c:v>-8.9999994088429958E-4</c:v>
                </c:pt>
                <c:pt idx="57">
                  <c:v>5.230000002484303E-3</c:v>
                </c:pt>
                <c:pt idx="58">
                  <c:v>6.9499999954132363E-3</c:v>
                </c:pt>
                <c:pt idx="59">
                  <c:v>-1.0000000474974513E-4</c:v>
                </c:pt>
                <c:pt idx="60">
                  <c:v>-1.1000000013154931E-3</c:v>
                </c:pt>
                <c:pt idx="61">
                  <c:v>2.5800000003073364E-3</c:v>
                </c:pt>
                <c:pt idx="62">
                  <c:v>-7.299999997485429E-4</c:v>
                </c:pt>
                <c:pt idx="63">
                  <c:v>3.6200000031385571E-3</c:v>
                </c:pt>
                <c:pt idx="64">
                  <c:v>1.9000000029336661E-3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4-4B41-86F0-72FCE825BD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4-4B41-86F0-72FCE825BD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4-4B41-86F0-72FCE825BD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4-4B41-86F0-72FCE825BD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-2.1410829857525071E-2</c:v>
                </c:pt>
                <c:pt idx="1">
                  <c:v>-2.1395036210811447E-2</c:v>
                </c:pt>
                <c:pt idx="2">
                  <c:v>-2.1374504470083738E-2</c:v>
                </c:pt>
                <c:pt idx="3">
                  <c:v>-2.124183783768931E-2</c:v>
                </c:pt>
                <c:pt idx="4">
                  <c:v>-2.124183783768931E-2</c:v>
                </c:pt>
                <c:pt idx="5">
                  <c:v>-2.122762355564705E-2</c:v>
                </c:pt>
                <c:pt idx="6">
                  <c:v>-2.114391722806485E-2</c:v>
                </c:pt>
                <c:pt idx="7">
                  <c:v>-2.0600615781116233E-2</c:v>
                </c:pt>
                <c:pt idx="8">
                  <c:v>-2.0594298322430784E-2</c:v>
                </c:pt>
                <c:pt idx="9">
                  <c:v>-2.0141020661749817E-2</c:v>
                </c:pt>
                <c:pt idx="10">
                  <c:v>-1.9779346152007861E-2</c:v>
                </c:pt>
                <c:pt idx="11">
                  <c:v>-1.9446100206350427E-2</c:v>
                </c:pt>
                <c:pt idx="12">
                  <c:v>-1.9423989100951354E-2</c:v>
                </c:pt>
                <c:pt idx="13">
                  <c:v>-1.9423989100951354E-2</c:v>
                </c:pt>
                <c:pt idx="14">
                  <c:v>-1.9319751032641448E-2</c:v>
                </c:pt>
                <c:pt idx="15">
                  <c:v>-1.9207616140974725E-2</c:v>
                </c:pt>
                <c:pt idx="16">
                  <c:v>-1.9174449482876121E-2</c:v>
                </c:pt>
                <c:pt idx="17">
                  <c:v>-1.9122330448721164E-2</c:v>
                </c:pt>
                <c:pt idx="18">
                  <c:v>-1.8672211517382922E-2</c:v>
                </c:pt>
                <c:pt idx="19">
                  <c:v>-1.8456628239741976E-2</c:v>
                </c:pt>
                <c:pt idx="20">
                  <c:v>-1.8421092534636325E-2</c:v>
                </c:pt>
                <c:pt idx="21">
                  <c:v>-1.8288425902241896E-2</c:v>
                </c:pt>
                <c:pt idx="22">
                  <c:v>-1.8275790984870997E-2</c:v>
                </c:pt>
                <c:pt idx="23">
                  <c:v>-1.4605347488625121E-2</c:v>
                </c:pt>
                <c:pt idx="24">
                  <c:v>-1.4166284109986414E-2</c:v>
                </c:pt>
                <c:pt idx="25">
                  <c:v>-1.4166284109986414E-2</c:v>
                </c:pt>
                <c:pt idx="26">
                  <c:v>-1.4166284109986414E-2</c:v>
                </c:pt>
                <c:pt idx="27">
                  <c:v>-1.229315760975078E-2</c:v>
                </c:pt>
                <c:pt idx="28">
                  <c:v>-1.229315760975078E-2</c:v>
                </c:pt>
                <c:pt idx="29">
                  <c:v>-1.2286840151065332E-2</c:v>
                </c:pt>
                <c:pt idx="30">
                  <c:v>-1.2286840151065332E-2</c:v>
                </c:pt>
                <c:pt idx="31">
                  <c:v>-1.1708002999011065E-2</c:v>
                </c:pt>
                <c:pt idx="32">
                  <c:v>-1.1555594308224608E-2</c:v>
                </c:pt>
                <c:pt idx="33">
                  <c:v>-1.1449776875243336E-2</c:v>
                </c:pt>
                <c:pt idx="34">
                  <c:v>-1.0685364374304005E-2</c:v>
                </c:pt>
                <c:pt idx="35">
                  <c:v>-1.0685364374304005E-2</c:v>
                </c:pt>
                <c:pt idx="36">
                  <c:v>-6.2141829896774654E-3</c:v>
                </c:pt>
                <c:pt idx="37">
                  <c:v>-5.8525084799355091E-3</c:v>
                </c:pt>
                <c:pt idx="38">
                  <c:v>-5.315524491672342E-3</c:v>
                </c:pt>
                <c:pt idx="39">
                  <c:v>-5.1133658137379745E-3</c:v>
                </c:pt>
                <c:pt idx="40">
                  <c:v>-3.8182867832209258E-3</c:v>
                </c:pt>
                <c:pt idx="41">
                  <c:v>-3.248136136859152E-3</c:v>
                </c:pt>
                <c:pt idx="42">
                  <c:v>-1.9246285422575833E-3</c:v>
                </c:pt>
                <c:pt idx="43">
                  <c:v>-1.4729302462479787E-3</c:v>
                </c:pt>
                <c:pt idx="44">
                  <c:v>-1.1586366766468902E-3</c:v>
                </c:pt>
                <c:pt idx="45">
                  <c:v>-1.1586366766468902E-3</c:v>
                </c:pt>
                <c:pt idx="46">
                  <c:v>-9.7385101009750657E-4</c:v>
                </c:pt>
                <c:pt idx="47">
                  <c:v>-9.3436689331345018E-4</c:v>
                </c:pt>
                <c:pt idx="48">
                  <c:v>-9.3436689331345018E-4</c:v>
                </c:pt>
                <c:pt idx="49">
                  <c:v>-6.7850981655276496E-4</c:v>
                </c:pt>
                <c:pt idx="50">
                  <c:v>-6.5718839348937461E-4</c:v>
                </c:pt>
                <c:pt idx="51">
                  <c:v>-4.7714082095407764E-4</c:v>
                </c:pt>
                <c:pt idx="52">
                  <c:v>-4.5739876256204945E-4</c:v>
                </c:pt>
                <c:pt idx="53">
                  <c:v>-4.0527972840709509E-4</c:v>
                </c:pt>
                <c:pt idx="54">
                  <c:v>-2.1259723850090015E-4</c:v>
                </c:pt>
                <c:pt idx="55">
                  <c:v>5.7474120302045302E-5</c:v>
                </c:pt>
                <c:pt idx="56">
                  <c:v>5.7474120302045302E-5</c:v>
                </c:pt>
                <c:pt idx="57">
                  <c:v>1.0248601343586954E-4</c:v>
                </c:pt>
                <c:pt idx="58">
                  <c:v>1.0880347212131858E-4</c:v>
                </c:pt>
                <c:pt idx="59">
                  <c:v>5.8656128520840028E-4</c:v>
                </c:pt>
                <c:pt idx="60">
                  <c:v>9.0243421948085116E-4</c:v>
                </c:pt>
                <c:pt idx="61">
                  <c:v>1.6542118030492838E-3</c:v>
                </c:pt>
                <c:pt idx="62">
                  <c:v>2.0814299466527736E-3</c:v>
                </c:pt>
                <c:pt idx="63">
                  <c:v>2.1169656517584243E-3</c:v>
                </c:pt>
                <c:pt idx="64">
                  <c:v>2.1501323098570319E-3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04-4B41-86F0-72FCE825BD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04-4B41-86F0-72FCE825BDA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  <c:pt idx="15">
                  <c:v>3000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1.088054041778947</c:v>
                </c:pt>
                <c:pt idx="1">
                  <c:v>0.96241617007560831</c:v>
                </c:pt>
                <c:pt idx="2">
                  <c:v>0.8431051684170896</c:v>
                </c:pt>
                <c:pt idx="3">
                  <c:v>0.73012103680339124</c:v>
                </c:pt>
                <c:pt idx="4">
                  <c:v>0.62346377523451302</c:v>
                </c:pt>
                <c:pt idx="5">
                  <c:v>0.52313338371045515</c:v>
                </c:pt>
                <c:pt idx="6">
                  <c:v>0.42912986223121741</c:v>
                </c:pt>
                <c:pt idx="7">
                  <c:v>0.34145321079679991</c:v>
                </c:pt>
                <c:pt idx="8">
                  <c:v>0.26010342940720271</c:v>
                </c:pt>
                <c:pt idx="9">
                  <c:v>0.1850805180624257</c:v>
                </c:pt>
                <c:pt idx="10">
                  <c:v>0.11638447676246892</c:v>
                </c:pt>
                <c:pt idx="11">
                  <c:v>5.4015305507332391E-2</c:v>
                </c:pt>
                <c:pt idx="12">
                  <c:v>-2.0269957029839048E-3</c:v>
                </c:pt>
                <c:pt idx="13">
                  <c:v>-5.174242686847997E-2</c:v>
                </c:pt>
                <c:pt idx="14">
                  <c:v>-9.5130987989155799E-2</c:v>
                </c:pt>
                <c:pt idx="15">
                  <c:v>-0.13219267906501136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704-4B41-86F0-72FCE825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65728"/>
        <c:axId val="1"/>
      </c:scatterChart>
      <c:valAx>
        <c:axId val="59246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712002320953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46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084809994605603E-2"/>
          <c:y val="0.92073298764483702"/>
          <c:w val="0.924008540383229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Cam - O-C Diagr.</a:t>
            </a:r>
          </a:p>
        </c:rich>
      </c:tx>
      <c:layout>
        <c:manualLayout>
          <c:xMode val="edge"/>
          <c:yMode val="edge"/>
          <c:x val="0.3637934654719883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58966565349544"/>
          <c:w val="0.7982765341094205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0.14865999999892665</c:v>
                </c:pt>
                <c:pt idx="2">
                  <c:v>0.28299999999944703</c:v>
                </c:pt>
                <c:pt idx="3">
                  <c:v>0.1911199999958626</c:v>
                </c:pt>
                <c:pt idx="4">
                  <c:v>0.21311999999670661</c:v>
                </c:pt>
                <c:pt idx="5">
                  <c:v>0.27673999999751686</c:v>
                </c:pt>
                <c:pt idx="6">
                  <c:v>0.18127999999705935</c:v>
                </c:pt>
                <c:pt idx="7">
                  <c:v>0.1231999999981781</c:v>
                </c:pt>
                <c:pt idx="8">
                  <c:v>0.17991999999867403</c:v>
                </c:pt>
                <c:pt idx="9">
                  <c:v>0.11957999999867752</c:v>
                </c:pt>
                <c:pt idx="10">
                  <c:v>0.18779999999969732</c:v>
                </c:pt>
                <c:pt idx="11">
                  <c:v>0.27877999999691383</c:v>
                </c:pt>
                <c:pt idx="12">
                  <c:v>0.1772999999957392</c:v>
                </c:pt>
                <c:pt idx="13">
                  <c:v>0.24929999999585561</c:v>
                </c:pt>
                <c:pt idx="14">
                  <c:v>0.14918000000034226</c:v>
                </c:pt>
                <c:pt idx="15">
                  <c:v>0.18795999999929336</c:v>
                </c:pt>
                <c:pt idx="16">
                  <c:v>0.1887399999977788</c:v>
                </c:pt>
                <c:pt idx="17">
                  <c:v>0.12367999999696622</c:v>
                </c:pt>
                <c:pt idx="18">
                  <c:v>0.23497999999744934</c:v>
                </c:pt>
                <c:pt idx="19">
                  <c:v>0.17704999999841675</c:v>
                </c:pt>
                <c:pt idx="20">
                  <c:v>0.18759999999747379</c:v>
                </c:pt>
                <c:pt idx="21">
                  <c:v>0.18871999999828404</c:v>
                </c:pt>
                <c:pt idx="22">
                  <c:v>0.26015999999799533</c:v>
                </c:pt>
                <c:pt idx="23">
                  <c:v>9.1479999995499384E-2</c:v>
                </c:pt>
                <c:pt idx="24">
                  <c:v>3.2520000000658911E-2</c:v>
                </c:pt>
                <c:pt idx="25">
                  <c:v>7.4520000001939479E-2</c:v>
                </c:pt>
                <c:pt idx="26">
                  <c:v>0.1245199999975739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E-4AD7-A02D-75F5584D80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0.35785999999643536</c:v>
                </c:pt>
                <c:pt idx="27">
                  <c:v>5.8999999993829988E-2</c:v>
                </c:pt>
                <c:pt idx="28">
                  <c:v>0.11299999999755528</c:v>
                </c:pt>
                <c:pt idx="29">
                  <c:v>0.11071999999694526</c:v>
                </c:pt>
                <c:pt idx="30">
                  <c:v>0.11271999999735272</c:v>
                </c:pt>
                <c:pt idx="31">
                  <c:v>-5.1810000004479662E-2</c:v>
                </c:pt>
                <c:pt idx="32">
                  <c:v>8.2060000000637956E-2</c:v>
                </c:pt>
                <c:pt idx="33">
                  <c:v>9.7119999998540152E-2</c:v>
                </c:pt>
                <c:pt idx="34">
                  <c:v>0.11323999999876833</c:v>
                </c:pt>
                <c:pt idx="35">
                  <c:v>0.16924000000290107</c:v>
                </c:pt>
                <c:pt idx="46">
                  <c:v>-1.3400000025285408E-3</c:v>
                </c:pt>
                <c:pt idx="52">
                  <c:v>-1.7799999986891635E-3</c:v>
                </c:pt>
                <c:pt idx="55">
                  <c:v>-9.000000063679181E-4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9E-4AD7-A02D-75F5584D80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6">
                  <c:v>2.5520000002870802E-2</c:v>
                </c:pt>
                <c:pt idx="37">
                  <c:v>2.9640000000654254E-2</c:v>
                </c:pt>
                <c:pt idx="38">
                  <c:v>1.9339999998919666E-2</c:v>
                </c:pt>
                <c:pt idx="39">
                  <c:v>1.698000000033062E-2</c:v>
                </c:pt>
                <c:pt idx="40">
                  <c:v>4.7799999956623651E-3</c:v>
                </c:pt>
                <c:pt idx="42">
                  <c:v>-1.2999999962630682E-3</c:v>
                </c:pt>
                <c:pt idx="43">
                  <c:v>-3.5200000056647696E-3</c:v>
                </c:pt>
                <c:pt idx="45">
                  <c:v>2.9999999969732016E-4</c:v>
                </c:pt>
                <c:pt idx="49">
                  <c:v>-1.9800000009126961E-3</c:v>
                </c:pt>
                <c:pt idx="50">
                  <c:v>1.4999999984866008E-4</c:v>
                </c:pt>
                <c:pt idx="54">
                  <c:v>-1.680000001215376E-3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E-4AD7-A02D-75F5584D80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1">
                  <c:v>1.1599999997997656E-3</c:v>
                </c:pt>
                <c:pt idx="44">
                  <c:v>0</c:v>
                </c:pt>
                <c:pt idx="47">
                  <c:v>-2.6400000060675666E-3</c:v>
                </c:pt>
                <c:pt idx="48">
                  <c:v>-2.6400000060675666E-3</c:v>
                </c:pt>
                <c:pt idx="51">
                  <c:v>-7.299999997485429E-4</c:v>
                </c:pt>
                <c:pt idx="53">
                  <c:v>-2.4400000038440339E-3</c:v>
                </c:pt>
                <c:pt idx="56">
                  <c:v>-8.9999994088429958E-4</c:v>
                </c:pt>
                <c:pt idx="57">
                  <c:v>5.230000002484303E-3</c:v>
                </c:pt>
                <c:pt idx="58">
                  <c:v>6.9499999954132363E-3</c:v>
                </c:pt>
                <c:pt idx="59">
                  <c:v>-1.0000000474974513E-4</c:v>
                </c:pt>
                <c:pt idx="60">
                  <c:v>-1.1000000013154931E-3</c:v>
                </c:pt>
                <c:pt idx="61">
                  <c:v>2.5800000003073364E-3</c:v>
                </c:pt>
                <c:pt idx="62">
                  <c:v>-7.299999997485429E-4</c:v>
                </c:pt>
                <c:pt idx="63">
                  <c:v>3.6200000031385571E-3</c:v>
                </c:pt>
                <c:pt idx="64">
                  <c:v>1.9000000029336661E-3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E-4AD7-A02D-75F5584D80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E-4AD7-A02D-75F5584D80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E-4AD7-A02D-75F5584D80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1.4E-3</c:v>
                  </c:pt>
                  <c:pt idx="41">
                    <c:v>0</c:v>
                  </c:pt>
                  <c:pt idx="42">
                    <c:v>5.9999999999999995E-4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4.7000000000000002E-3</c:v>
                  </c:pt>
                  <c:pt idx="50">
                    <c:v>2.6200000000000001E-2</c:v>
                  </c:pt>
                  <c:pt idx="51">
                    <c:v>2.7000000000000001E-3</c:v>
                  </c:pt>
                  <c:pt idx="52">
                    <c:v>0</c:v>
                  </c:pt>
                  <c:pt idx="53">
                    <c:v>1.8E-3</c:v>
                  </c:pt>
                  <c:pt idx="54">
                    <c:v>1.5E-3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2.3199999999999998E-2</c:v>
                  </c:pt>
                  <c:pt idx="58">
                    <c:v>1.2999999999999999E-3</c:v>
                  </c:pt>
                  <c:pt idx="59">
                    <c:v>0</c:v>
                  </c:pt>
                  <c:pt idx="60">
                    <c:v>1.4E-3</c:v>
                  </c:pt>
                  <c:pt idx="61">
                    <c:v>5.1999999999999998E-3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9E-4AD7-A02D-75F5584D80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-2.1410829857525071E-2</c:v>
                </c:pt>
                <c:pt idx="1">
                  <c:v>-2.1395036210811447E-2</c:v>
                </c:pt>
                <c:pt idx="2">
                  <c:v>-2.1374504470083738E-2</c:v>
                </c:pt>
                <c:pt idx="3">
                  <c:v>-2.124183783768931E-2</c:v>
                </c:pt>
                <c:pt idx="4">
                  <c:v>-2.124183783768931E-2</c:v>
                </c:pt>
                <c:pt idx="5">
                  <c:v>-2.122762355564705E-2</c:v>
                </c:pt>
                <c:pt idx="6">
                  <c:v>-2.114391722806485E-2</c:v>
                </c:pt>
                <c:pt idx="7">
                  <c:v>-2.0600615781116233E-2</c:v>
                </c:pt>
                <c:pt idx="8">
                  <c:v>-2.0594298322430784E-2</c:v>
                </c:pt>
                <c:pt idx="9">
                  <c:v>-2.0141020661749817E-2</c:v>
                </c:pt>
                <c:pt idx="10">
                  <c:v>-1.9779346152007861E-2</c:v>
                </c:pt>
                <c:pt idx="11">
                  <c:v>-1.9446100206350427E-2</c:v>
                </c:pt>
                <c:pt idx="12">
                  <c:v>-1.9423989100951354E-2</c:v>
                </c:pt>
                <c:pt idx="13">
                  <c:v>-1.9423989100951354E-2</c:v>
                </c:pt>
                <c:pt idx="14">
                  <c:v>-1.9319751032641448E-2</c:v>
                </c:pt>
                <c:pt idx="15">
                  <c:v>-1.9207616140974725E-2</c:v>
                </c:pt>
                <c:pt idx="16">
                  <c:v>-1.9174449482876121E-2</c:v>
                </c:pt>
                <c:pt idx="17">
                  <c:v>-1.9122330448721164E-2</c:v>
                </c:pt>
                <c:pt idx="18">
                  <c:v>-1.8672211517382922E-2</c:v>
                </c:pt>
                <c:pt idx="19">
                  <c:v>-1.8456628239741976E-2</c:v>
                </c:pt>
                <c:pt idx="20">
                  <c:v>-1.8421092534636325E-2</c:v>
                </c:pt>
                <c:pt idx="21">
                  <c:v>-1.8288425902241896E-2</c:v>
                </c:pt>
                <c:pt idx="22">
                  <c:v>-1.8275790984870997E-2</c:v>
                </c:pt>
                <c:pt idx="23">
                  <c:v>-1.4605347488625121E-2</c:v>
                </c:pt>
                <c:pt idx="24">
                  <c:v>-1.4166284109986414E-2</c:v>
                </c:pt>
                <c:pt idx="25">
                  <c:v>-1.4166284109986414E-2</c:v>
                </c:pt>
                <c:pt idx="26">
                  <c:v>-1.4166284109986414E-2</c:v>
                </c:pt>
                <c:pt idx="27">
                  <c:v>-1.229315760975078E-2</c:v>
                </c:pt>
                <c:pt idx="28">
                  <c:v>-1.229315760975078E-2</c:v>
                </c:pt>
                <c:pt idx="29">
                  <c:v>-1.2286840151065332E-2</c:v>
                </c:pt>
                <c:pt idx="30">
                  <c:v>-1.2286840151065332E-2</c:v>
                </c:pt>
                <c:pt idx="31">
                  <c:v>-1.1708002999011065E-2</c:v>
                </c:pt>
                <c:pt idx="32">
                  <c:v>-1.1555594308224608E-2</c:v>
                </c:pt>
                <c:pt idx="33">
                  <c:v>-1.1449776875243336E-2</c:v>
                </c:pt>
                <c:pt idx="34">
                  <c:v>-1.0685364374304005E-2</c:v>
                </c:pt>
                <c:pt idx="35">
                  <c:v>-1.0685364374304005E-2</c:v>
                </c:pt>
                <c:pt idx="36">
                  <c:v>-6.2141829896774654E-3</c:v>
                </c:pt>
                <c:pt idx="37">
                  <c:v>-5.8525084799355091E-3</c:v>
                </c:pt>
                <c:pt idx="38">
                  <c:v>-5.315524491672342E-3</c:v>
                </c:pt>
                <c:pt idx="39">
                  <c:v>-5.1133658137379745E-3</c:v>
                </c:pt>
                <c:pt idx="40">
                  <c:v>-3.8182867832209258E-3</c:v>
                </c:pt>
                <c:pt idx="41">
                  <c:v>-3.248136136859152E-3</c:v>
                </c:pt>
                <c:pt idx="42">
                  <c:v>-1.9246285422575833E-3</c:v>
                </c:pt>
                <c:pt idx="43">
                  <c:v>-1.4729302462479787E-3</c:v>
                </c:pt>
                <c:pt idx="44">
                  <c:v>-1.1586366766468902E-3</c:v>
                </c:pt>
                <c:pt idx="45">
                  <c:v>-1.1586366766468902E-3</c:v>
                </c:pt>
                <c:pt idx="46">
                  <c:v>-9.7385101009750657E-4</c:v>
                </c:pt>
                <c:pt idx="47">
                  <c:v>-9.3436689331345018E-4</c:v>
                </c:pt>
                <c:pt idx="48">
                  <c:v>-9.3436689331345018E-4</c:v>
                </c:pt>
                <c:pt idx="49">
                  <c:v>-6.7850981655276496E-4</c:v>
                </c:pt>
                <c:pt idx="50">
                  <c:v>-6.5718839348937461E-4</c:v>
                </c:pt>
                <c:pt idx="51">
                  <c:v>-4.7714082095407764E-4</c:v>
                </c:pt>
                <c:pt idx="52">
                  <c:v>-4.5739876256204945E-4</c:v>
                </c:pt>
                <c:pt idx="53">
                  <c:v>-4.0527972840709509E-4</c:v>
                </c:pt>
                <c:pt idx="54">
                  <c:v>-2.1259723850090015E-4</c:v>
                </c:pt>
                <c:pt idx="55">
                  <c:v>5.7474120302045302E-5</c:v>
                </c:pt>
                <c:pt idx="56">
                  <c:v>5.7474120302045302E-5</c:v>
                </c:pt>
                <c:pt idx="57">
                  <c:v>1.0248601343586954E-4</c:v>
                </c:pt>
                <c:pt idx="58">
                  <c:v>1.0880347212131858E-4</c:v>
                </c:pt>
                <c:pt idx="59">
                  <c:v>5.8656128520840028E-4</c:v>
                </c:pt>
                <c:pt idx="60">
                  <c:v>9.0243421948085116E-4</c:v>
                </c:pt>
                <c:pt idx="61">
                  <c:v>1.6542118030492838E-3</c:v>
                </c:pt>
                <c:pt idx="62">
                  <c:v>2.0814299466527736E-3</c:v>
                </c:pt>
                <c:pt idx="63">
                  <c:v>2.1169656517584243E-3</c:v>
                </c:pt>
                <c:pt idx="64">
                  <c:v>2.1501323098570319E-3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9E-4AD7-A02D-75F5584D80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-12823</c:v>
                </c:pt>
                <c:pt idx="1">
                  <c:v>-12813</c:v>
                </c:pt>
                <c:pt idx="2">
                  <c:v>-12800</c:v>
                </c:pt>
                <c:pt idx="3">
                  <c:v>-12716</c:v>
                </c:pt>
                <c:pt idx="4">
                  <c:v>-12716</c:v>
                </c:pt>
                <c:pt idx="5">
                  <c:v>-12707</c:v>
                </c:pt>
                <c:pt idx="6">
                  <c:v>-12654</c:v>
                </c:pt>
                <c:pt idx="7">
                  <c:v>-12310</c:v>
                </c:pt>
                <c:pt idx="8">
                  <c:v>-12306</c:v>
                </c:pt>
                <c:pt idx="9">
                  <c:v>-12019</c:v>
                </c:pt>
                <c:pt idx="10">
                  <c:v>-11790</c:v>
                </c:pt>
                <c:pt idx="11">
                  <c:v>-11579</c:v>
                </c:pt>
                <c:pt idx="12">
                  <c:v>-11565</c:v>
                </c:pt>
                <c:pt idx="13">
                  <c:v>-11565</c:v>
                </c:pt>
                <c:pt idx="14">
                  <c:v>-11499</c:v>
                </c:pt>
                <c:pt idx="15">
                  <c:v>-11428</c:v>
                </c:pt>
                <c:pt idx="16">
                  <c:v>-11407</c:v>
                </c:pt>
                <c:pt idx="17">
                  <c:v>-11374</c:v>
                </c:pt>
                <c:pt idx="18">
                  <c:v>-11089</c:v>
                </c:pt>
                <c:pt idx="19">
                  <c:v>-10952.5</c:v>
                </c:pt>
                <c:pt idx="20">
                  <c:v>-10930</c:v>
                </c:pt>
                <c:pt idx="21">
                  <c:v>-10846</c:v>
                </c:pt>
                <c:pt idx="22">
                  <c:v>-10838</c:v>
                </c:pt>
                <c:pt idx="23">
                  <c:v>-8514</c:v>
                </c:pt>
                <c:pt idx="24">
                  <c:v>-8236</c:v>
                </c:pt>
                <c:pt idx="25">
                  <c:v>-8236</c:v>
                </c:pt>
                <c:pt idx="26">
                  <c:v>-8236</c:v>
                </c:pt>
                <c:pt idx="27">
                  <c:v>-7050</c:v>
                </c:pt>
                <c:pt idx="28">
                  <c:v>-7050</c:v>
                </c:pt>
                <c:pt idx="29">
                  <c:v>-7046</c:v>
                </c:pt>
                <c:pt idx="30">
                  <c:v>-7046</c:v>
                </c:pt>
                <c:pt idx="31">
                  <c:v>-6679.5</c:v>
                </c:pt>
                <c:pt idx="32">
                  <c:v>-6583</c:v>
                </c:pt>
                <c:pt idx="33">
                  <c:v>-6516</c:v>
                </c:pt>
                <c:pt idx="34">
                  <c:v>-6032</c:v>
                </c:pt>
                <c:pt idx="35">
                  <c:v>-6032</c:v>
                </c:pt>
                <c:pt idx="36">
                  <c:v>-3201</c:v>
                </c:pt>
                <c:pt idx="37">
                  <c:v>-2972</c:v>
                </c:pt>
                <c:pt idx="38">
                  <c:v>-2632</c:v>
                </c:pt>
                <c:pt idx="39">
                  <c:v>-2504</c:v>
                </c:pt>
                <c:pt idx="40">
                  <c:v>-1684</c:v>
                </c:pt>
                <c:pt idx="41">
                  <c:v>-1323</c:v>
                </c:pt>
                <c:pt idx="42">
                  <c:v>-485</c:v>
                </c:pt>
                <c:pt idx="43">
                  <c:v>-199</c:v>
                </c:pt>
                <c:pt idx="44">
                  <c:v>0</c:v>
                </c:pt>
                <c:pt idx="45">
                  <c:v>0</c:v>
                </c:pt>
                <c:pt idx="46">
                  <c:v>117</c:v>
                </c:pt>
                <c:pt idx="47">
                  <c:v>142</c:v>
                </c:pt>
                <c:pt idx="48">
                  <c:v>142</c:v>
                </c:pt>
                <c:pt idx="49">
                  <c:v>304</c:v>
                </c:pt>
                <c:pt idx="50">
                  <c:v>317.5</c:v>
                </c:pt>
                <c:pt idx="51">
                  <c:v>431.5</c:v>
                </c:pt>
                <c:pt idx="52">
                  <c:v>444</c:v>
                </c:pt>
                <c:pt idx="53">
                  <c:v>477</c:v>
                </c:pt>
                <c:pt idx="54">
                  <c:v>599</c:v>
                </c:pt>
                <c:pt idx="55">
                  <c:v>770</c:v>
                </c:pt>
                <c:pt idx="56">
                  <c:v>770</c:v>
                </c:pt>
                <c:pt idx="57">
                  <c:v>798.5</c:v>
                </c:pt>
                <c:pt idx="58">
                  <c:v>802.5</c:v>
                </c:pt>
                <c:pt idx="59">
                  <c:v>1105</c:v>
                </c:pt>
                <c:pt idx="60">
                  <c:v>1305</c:v>
                </c:pt>
                <c:pt idx="61">
                  <c:v>1781</c:v>
                </c:pt>
                <c:pt idx="62">
                  <c:v>2051.5</c:v>
                </c:pt>
                <c:pt idx="63">
                  <c:v>2074</c:v>
                </c:pt>
                <c:pt idx="64">
                  <c:v>2095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9E-4AD7-A02D-75F5584D8078}"/>
            </c:ext>
          </c:extLst>
        </c:ser>
        <c:ser>
          <c:idx val="9"/>
          <c:order val="9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Active!$X$2:$X$16</c:f>
              <c:numCache>
                <c:formatCode>General</c:formatCode>
                <c:ptCount val="15"/>
                <c:pt idx="0">
                  <c:v>-12000</c:v>
                </c:pt>
                <c:pt idx="1">
                  <c:v>-11000</c:v>
                </c:pt>
                <c:pt idx="2">
                  <c:v>-10000</c:v>
                </c:pt>
                <c:pt idx="3">
                  <c:v>-9000</c:v>
                </c:pt>
                <c:pt idx="4">
                  <c:v>-8000</c:v>
                </c:pt>
                <c:pt idx="5">
                  <c:v>-7000</c:v>
                </c:pt>
                <c:pt idx="6">
                  <c:v>-6000</c:v>
                </c:pt>
                <c:pt idx="7">
                  <c:v>-5000</c:v>
                </c:pt>
                <c:pt idx="8">
                  <c:v>-4000</c:v>
                </c:pt>
                <c:pt idx="9">
                  <c:v>-3000</c:v>
                </c:pt>
                <c:pt idx="10">
                  <c:v>-2000</c:v>
                </c:pt>
                <c:pt idx="11">
                  <c:v>-1000</c:v>
                </c:pt>
                <c:pt idx="12">
                  <c:v>0</c:v>
                </c:pt>
                <c:pt idx="13">
                  <c:v>1000</c:v>
                </c:pt>
                <c:pt idx="14">
                  <c:v>2000</c:v>
                </c:pt>
              </c:numCache>
            </c:numRef>
          </c:xVal>
          <c:yVal>
            <c:numRef>
              <c:f>Active!$Y$2:$Y$16</c:f>
              <c:numCache>
                <c:formatCode>General</c:formatCode>
                <c:ptCount val="15"/>
                <c:pt idx="0">
                  <c:v>1.088054041778947</c:v>
                </c:pt>
                <c:pt idx="1">
                  <c:v>0.96241617007560831</c:v>
                </c:pt>
                <c:pt idx="2">
                  <c:v>0.8431051684170896</c:v>
                </c:pt>
                <c:pt idx="3">
                  <c:v>0.73012103680339124</c:v>
                </c:pt>
                <c:pt idx="4">
                  <c:v>0.62346377523451302</c:v>
                </c:pt>
                <c:pt idx="5">
                  <c:v>0.52313338371045515</c:v>
                </c:pt>
                <c:pt idx="6">
                  <c:v>0.42912986223121741</c:v>
                </c:pt>
                <c:pt idx="7">
                  <c:v>0.34145321079679991</c:v>
                </c:pt>
                <c:pt idx="8">
                  <c:v>0.26010342940720271</c:v>
                </c:pt>
                <c:pt idx="9">
                  <c:v>0.1850805180624257</c:v>
                </c:pt>
                <c:pt idx="10">
                  <c:v>0.11638447676246892</c:v>
                </c:pt>
                <c:pt idx="11">
                  <c:v>5.4015305507332391E-2</c:v>
                </c:pt>
                <c:pt idx="12">
                  <c:v>-2.0269957029839048E-3</c:v>
                </c:pt>
                <c:pt idx="13">
                  <c:v>-5.174242686847997E-2</c:v>
                </c:pt>
                <c:pt idx="14">
                  <c:v>-9.5130987989155799E-2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79E-4AD7-A02D-75F5584D8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59968"/>
        <c:axId val="1"/>
      </c:scatterChart>
      <c:valAx>
        <c:axId val="5924599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45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89655172413796E-2"/>
          <c:y val="0.92097264437689974"/>
          <c:w val="0.922414517150873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114300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FD082AB-38BC-8FA3-C67E-A8A50B8F7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38100</xdr:rowOff>
    </xdr:from>
    <xdr:to>
      <xdr:col>27</xdr:col>
      <xdr:colOff>76200</xdr:colOff>
      <xdr:row>18</xdr:row>
      <xdr:rowOff>66675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608F46DB-90EE-4D5C-7EDD-3F6479C0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www.konkoly.hu/cgi-bin/IBVS?5837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20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3" TargetMode="External"/><Relationship Id="rId16" Type="http://schemas.openxmlformats.org/officeDocument/2006/relationships/hyperlink" Target="http://www.konkoly.hu/cgi-bin/IBVS?5974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vsolj.cetus-net.org/vsoljno51.pdf" TargetMode="External"/><Relationship Id="rId23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konkoly.hu/cgi-bin/IBVS?6075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18" sqref="F18"/>
    </sheetView>
  </sheetViews>
  <sheetFormatPr defaultColWidth="10.28515625" defaultRowHeight="12.95" customHeight="1" x14ac:dyDescent="0.2"/>
  <cols>
    <col min="1" max="1" width="16.140625" style="24" customWidth="1"/>
    <col min="2" max="2" width="5.140625" style="26" customWidth="1"/>
    <col min="3" max="3" width="11.85546875" style="24" customWidth="1"/>
    <col min="4" max="4" width="9.42578125" style="24" customWidth="1"/>
    <col min="5" max="5" width="11.140625" style="24" customWidth="1"/>
    <col min="6" max="6" width="15.4257812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8" width="10.28515625" style="24" customWidth="1"/>
    <col min="19" max="19" width="10.28515625" style="26" customWidth="1"/>
    <col min="20" max="16384" width="10.28515625" style="24"/>
  </cols>
  <sheetData>
    <row r="1" spans="1:25" customFormat="1" ht="21" thickBot="1" x14ac:dyDescent="0.35">
      <c r="A1" s="1" t="s">
        <v>34</v>
      </c>
      <c r="S1" s="2"/>
      <c r="V1" s="3" t="s">
        <v>12</v>
      </c>
      <c r="W1" s="4" t="s">
        <v>24</v>
      </c>
      <c r="X1" s="3" t="s">
        <v>12</v>
      </c>
      <c r="Y1" s="4" t="s">
        <v>24</v>
      </c>
    </row>
    <row r="2" spans="1:25" ht="12.95" customHeight="1" x14ac:dyDescent="0.2">
      <c r="A2" s="24" t="s">
        <v>26</v>
      </c>
      <c r="B2" s="25" t="s">
        <v>35</v>
      </c>
      <c r="E2" s="83" t="s">
        <v>293</v>
      </c>
      <c r="F2" s="85" t="s">
        <v>292</v>
      </c>
      <c r="V2" s="27">
        <v>-12000</v>
      </c>
      <c r="W2" s="27">
        <f>+$D$11+$D$12*V2+$D$13*V2^2</f>
        <v>1.088054041778947</v>
      </c>
      <c r="X2" s="27">
        <v>-12000</v>
      </c>
      <c r="Y2" s="27">
        <f>+$D$11+$D$12*X2+$D$13*X2^2</f>
        <v>1.088054041778947</v>
      </c>
    </row>
    <row r="3" spans="1:25" ht="12.95" customHeight="1" thickBot="1" x14ac:dyDescent="0.25">
      <c r="B3" s="24"/>
      <c r="E3" s="80" t="s">
        <v>44</v>
      </c>
      <c r="F3" s="84">
        <v>1</v>
      </c>
      <c r="V3" s="27">
        <f>V2+1000</f>
        <v>-11000</v>
      </c>
      <c r="W3" s="27">
        <f t="shared" ref="W3:Y17" si="0">+$D$11+$D$12*V3+$D$13*V3^2</f>
        <v>0.96241617007560831</v>
      </c>
      <c r="X3" s="27">
        <f>X2+1000</f>
        <v>-11000</v>
      </c>
      <c r="Y3" s="27">
        <f t="shared" si="0"/>
        <v>0.96241617007560831</v>
      </c>
    </row>
    <row r="4" spans="1:25" ht="12.95" customHeight="1" thickTop="1" thickBot="1" x14ac:dyDescent="0.25">
      <c r="A4" s="28" t="s">
        <v>3</v>
      </c>
      <c r="B4" s="24"/>
      <c r="C4" s="29">
        <v>41515.39</v>
      </c>
      <c r="D4" s="30">
        <v>2.2268349999999999</v>
      </c>
      <c r="E4" s="82" t="s">
        <v>38</v>
      </c>
      <c r="F4" s="86">
        <f ca="1">NOW()+15018.5+$C$5/24</f>
        <v>60540.824606712958</v>
      </c>
      <c r="V4" s="27">
        <f t="shared" ref="V4:X17" si="1">V3+1000</f>
        <v>-10000</v>
      </c>
      <c r="W4" s="27">
        <f t="shared" si="0"/>
        <v>0.8431051684170896</v>
      </c>
      <c r="X4" s="27">
        <f t="shared" si="1"/>
        <v>-10000</v>
      </c>
      <c r="Y4" s="27">
        <f t="shared" si="0"/>
        <v>0.8431051684170896</v>
      </c>
    </row>
    <row r="5" spans="1:25" ht="12.95" customHeight="1" thickTop="1" x14ac:dyDescent="0.2">
      <c r="A5" s="31" t="s">
        <v>37</v>
      </c>
      <c r="B5" s="24"/>
      <c r="C5" s="32">
        <v>-9.5</v>
      </c>
      <c r="E5" s="80" t="s">
        <v>45</v>
      </c>
      <c r="F5" s="86">
        <f ca="1">ROUND(2*($F$4-$C$7)/$C$8,0)/2+$F$3</f>
        <v>2513</v>
      </c>
      <c r="V5" s="27">
        <f t="shared" si="1"/>
        <v>-9000</v>
      </c>
      <c r="W5" s="27">
        <f t="shared" si="0"/>
        <v>0.73012103680339124</v>
      </c>
      <c r="X5" s="27">
        <f t="shared" si="1"/>
        <v>-9000</v>
      </c>
      <c r="Y5" s="27">
        <f t="shared" si="0"/>
        <v>0.73012103680339124</v>
      </c>
    </row>
    <row r="6" spans="1:25" ht="12.95" customHeight="1" x14ac:dyDescent="0.2">
      <c r="A6" s="28" t="s">
        <v>4</v>
      </c>
      <c r="B6" s="24"/>
      <c r="E6" s="80" t="s">
        <v>39</v>
      </c>
      <c r="F6" s="86">
        <f ca="1">ROUND(2*($F$4-$C$15)/$C$16,0)/2+$F$3</f>
        <v>418</v>
      </c>
      <c r="V6" s="27">
        <f t="shared" si="1"/>
        <v>-8000</v>
      </c>
      <c r="W6" s="27">
        <f t="shared" si="0"/>
        <v>0.62346377523451302</v>
      </c>
      <c r="X6" s="27">
        <f t="shared" si="1"/>
        <v>-8000</v>
      </c>
      <c r="Y6" s="27">
        <f t="shared" si="0"/>
        <v>0.62346377523451302</v>
      </c>
    </row>
    <row r="7" spans="1:25" ht="12.95" customHeight="1" x14ac:dyDescent="0.2">
      <c r="A7" s="24" t="s">
        <v>5</v>
      </c>
      <c r="B7" s="24"/>
      <c r="C7" s="24">
        <v>54947.455000000002</v>
      </c>
      <c r="D7" s="89" t="s">
        <v>294</v>
      </c>
      <c r="E7" s="80" t="s">
        <v>290</v>
      </c>
      <c r="F7" s="87">
        <f ca="1">+$C$15+$C$16*$F$6-15018.5-$C$5/24</f>
        <v>45525.35230364008</v>
      </c>
      <c r="V7" s="27">
        <f t="shared" si="1"/>
        <v>-7000</v>
      </c>
      <c r="W7" s="27">
        <f t="shared" si="0"/>
        <v>0.52313338371045515</v>
      </c>
      <c r="X7" s="27">
        <f t="shared" si="1"/>
        <v>-7000</v>
      </c>
      <c r="Y7" s="27">
        <f t="shared" si="0"/>
        <v>0.52313338371045515</v>
      </c>
    </row>
    <row r="8" spans="1:25" ht="12.95" customHeight="1" x14ac:dyDescent="0.2">
      <c r="A8" s="24" t="s">
        <v>6</v>
      </c>
      <c r="B8" s="24"/>
      <c r="C8" s="24">
        <v>2.22682</v>
      </c>
      <c r="D8" s="89" t="s">
        <v>294</v>
      </c>
      <c r="E8" s="81" t="s">
        <v>291</v>
      </c>
      <c r="F8" s="88">
        <f ca="1">+($C$15+$C$16*$F$6)-($C$16/2)-15018.5-$C$5/24</f>
        <v>45524.238892850401</v>
      </c>
      <c r="V8" s="27">
        <f t="shared" si="1"/>
        <v>-6000</v>
      </c>
      <c r="W8" s="27">
        <f t="shared" si="0"/>
        <v>0.42912986223121741</v>
      </c>
      <c r="X8" s="27">
        <f t="shared" si="1"/>
        <v>-6000</v>
      </c>
      <c r="Y8" s="27">
        <f t="shared" si="0"/>
        <v>0.42912986223121741</v>
      </c>
    </row>
    <row r="9" spans="1:25" ht="12.95" customHeight="1" x14ac:dyDescent="0.2">
      <c r="A9" s="33" t="s">
        <v>40</v>
      </c>
      <c r="B9" s="24"/>
      <c r="C9" s="34">
        <v>65</v>
      </c>
      <c r="D9" s="35" t="str">
        <f>"F"&amp;C9</f>
        <v>F65</v>
      </c>
      <c r="E9" s="36" t="str">
        <f>"G"&amp;C9</f>
        <v>G65</v>
      </c>
      <c r="V9" s="27">
        <f t="shared" si="1"/>
        <v>-5000</v>
      </c>
      <c r="W9" s="27">
        <f t="shared" si="0"/>
        <v>0.34145321079679991</v>
      </c>
      <c r="X9" s="27">
        <f t="shared" si="1"/>
        <v>-5000</v>
      </c>
      <c r="Y9" s="27">
        <f t="shared" si="0"/>
        <v>0.34145321079679991</v>
      </c>
    </row>
    <row r="10" spans="1:25" ht="12.95" customHeight="1" thickBot="1" x14ac:dyDescent="0.25">
      <c r="B10" s="24"/>
      <c r="C10" s="37" t="s">
        <v>22</v>
      </c>
      <c r="D10" s="37" t="s">
        <v>23</v>
      </c>
      <c r="V10" s="27">
        <f t="shared" si="1"/>
        <v>-4000</v>
      </c>
      <c r="W10" s="27">
        <f t="shared" si="0"/>
        <v>0.26010342940720271</v>
      </c>
      <c r="X10" s="27">
        <f t="shared" si="1"/>
        <v>-4000</v>
      </c>
      <c r="Y10" s="27">
        <f t="shared" si="0"/>
        <v>0.26010342940720271</v>
      </c>
    </row>
    <row r="11" spans="1:25" ht="12.95" customHeight="1" x14ac:dyDescent="0.2">
      <c r="A11" s="24" t="s">
        <v>18</v>
      </c>
      <c r="B11" s="24"/>
      <c r="C11" s="36">
        <f ca="1">INTERCEPT(INDIRECT($E$9):G990,INDIRECT($D$9):F990)</f>
        <v>-1.1586366766468902E-3</v>
      </c>
      <c r="D11" s="26">
        <f>+E11*F11</f>
        <v>-2.0269957029839048E-3</v>
      </c>
      <c r="E11" s="38">
        <v>-2.0269957029839048E-3</v>
      </c>
      <c r="F11" s="24">
        <v>1</v>
      </c>
      <c r="V11" s="27">
        <f t="shared" si="1"/>
        <v>-3000</v>
      </c>
      <c r="W11" s="27">
        <f t="shared" si="0"/>
        <v>0.1850805180624257</v>
      </c>
      <c r="X11" s="27">
        <f t="shared" si="1"/>
        <v>-3000</v>
      </c>
      <c r="Y11" s="27">
        <f t="shared" si="0"/>
        <v>0.1850805180624257</v>
      </c>
    </row>
    <row r="12" spans="1:25" ht="12.95" customHeight="1" x14ac:dyDescent="0.2">
      <c r="A12" s="24" t="s">
        <v>19</v>
      </c>
      <c r="B12" s="24"/>
      <c r="C12" s="36">
        <f ca="1">SLOPE(INDIRECT($E$9):G990,INDIRECT($D$9):F990)</f>
        <v>1.5793646713622539E-6</v>
      </c>
      <c r="D12" s="26">
        <f>+E12*F12</f>
        <v>-5.2878866187906182E-5</v>
      </c>
      <c r="E12" s="39">
        <v>-0.52878866187906182</v>
      </c>
      <c r="F12" s="40">
        <v>1E-4</v>
      </c>
      <c r="V12" s="27">
        <f t="shared" si="1"/>
        <v>-2000</v>
      </c>
      <c r="W12" s="27">
        <f t="shared" si="0"/>
        <v>0.11638447676246892</v>
      </c>
      <c r="X12" s="27">
        <f t="shared" si="1"/>
        <v>-2000</v>
      </c>
      <c r="Y12" s="27">
        <f t="shared" si="0"/>
        <v>0.11638447676246892</v>
      </c>
    </row>
    <row r="13" spans="1:25" ht="12.95" customHeight="1" thickBot="1" x14ac:dyDescent="0.25">
      <c r="A13" s="24" t="s">
        <v>21</v>
      </c>
      <c r="B13" s="24"/>
      <c r="C13" s="26" t="s">
        <v>16</v>
      </c>
      <c r="D13" s="26">
        <f>+E13*F13</f>
        <v>3.1634350224101178E-9</v>
      </c>
      <c r="E13" s="41">
        <v>0.31634350224101176</v>
      </c>
      <c r="F13" s="40">
        <v>1E-8</v>
      </c>
      <c r="V13" s="27">
        <f t="shared" si="1"/>
        <v>-1000</v>
      </c>
      <c r="W13" s="27">
        <f t="shared" si="0"/>
        <v>5.4015305507332391E-2</v>
      </c>
      <c r="X13" s="27">
        <f t="shared" si="1"/>
        <v>-1000</v>
      </c>
      <c r="Y13" s="27">
        <f t="shared" si="0"/>
        <v>5.4015305507332391E-2</v>
      </c>
    </row>
    <row r="14" spans="1:25" ht="12.95" customHeight="1" x14ac:dyDescent="0.2">
      <c r="B14" s="24"/>
      <c r="E14" s="24">
        <f>SUM(T21:T950)</f>
        <v>0.13147669868763223</v>
      </c>
      <c r="V14" s="27">
        <f t="shared" si="1"/>
        <v>0</v>
      </c>
      <c r="W14" s="27">
        <f t="shared" si="0"/>
        <v>-2.0269957029839048E-3</v>
      </c>
      <c r="X14" s="27">
        <f t="shared" si="1"/>
        <v>0</v>
      </c>
      <c r="Y14" s="27">
        <f t="shared" si="0"/>
        <v>-2.0269957029839048E-3</v>
      </c>
    </row>
    <row r="15" spans="1:25" ht="12.95" customHeight="1" x14ac:dyDescent="0.2">
      <c r="A15" s="42" t="s">
        <v>20</v>
      </c>
      <c r="B15" s="24"/>
      <c r="C15" s="43">
        <f ca="1">(C7+C11)+(C8+C12)*INT(MAX(F21:F3531))</f>
        <v>59612.645050132312</v>
      </c>
      <c r="D15" s="36">
        <f>+C7+INT(MAX(F21:F1588))*C8+D11+D12*INT(MAX(F21:F4023))+D13*INT(MAX(F21:F4050)^2)</f>
        <v>59612.543976175031</v>
      </c>
      <c r="E15" s="44"/>
      <c r="F15" s="32"/>
      <c r="V15" s="27">
        <f t="shared" si="1"/>
        <v>1000</v>
      </c>
      <c r="W15" s="27">
        <f t="shared" si="0"/>
        <v>-5.174242686847997E-2</v>
      </c>
      <c r="X15" s="27">
        <f t="shared" si="1"/>
        <v>1000</v>
      </c>
      <c r="Y15" s="27">
        <f t="shared" si="0"/>
        <v>-5.174242686847997E-2</v>
      </c>
    </row>
    <row r="16" spans="1:25" ht="12.95" customHeight="1" x14ac:dyDescent="0.2">
      <c r="A16" s="28" t="s">
        <v>7</v>
      </c>
      <c r="B16" s="24"/>
      <c r="C16" s="45">
        <f ca="1">+C8+C12</f>
        <v>2.2268215793646715</v>
      </c>
      <c r="D16" s="36">
        <f>+C8+D12+2*D13*MAX(F21:F896)</f>
        <v>2.2267803759265559</v>
      </c>
      <c r="E16" s="44"/>
      <c r="F16" s="46"/>
      <c r="V16" s="27">
        <f t="shared" si="1"/>
        <v>2000</v>
      </c>
      <c r="W16" s="27">
        <f t="shared" si="0"/>
        <v>-9.5130987989155799E-2</v>
      </c>
      <c r="X16" s="27">
        <f t="shared" si="1"/>
        <v>2000</v>
      </c>
      <c r="Y16" s="27">
        <f t="shared" si="0"/>
        <v>-9.5130987989155799E-2</v>
      </c>
    </row>
    <row r="17" spans="1:27" ht="12.95" customHeight="1" thickBot="1" x14ac:dyDescent="0.25">
      <c r="A17" s="44" t="s">
        <v>33</v>
      </c>
      <c r="B17" s="24"/>
      <c r="C17" s="24">
        <f>COUNT(C21:C2189)</f>
        <v>65</v>
      </c>
      <c r="E17" s="44"/>
      <c r="F17" s="46"/>
      <c r="V17" s="27">
        <f t="shared" si="1"/>
        <v>3000</v>
      </c>
      <c r="W17" s="27">
        <f t="shared" si="0"/>
        <v>-0.13219267906501136</v>
      </c>
      <c r="X17" s="27">
        <f t="shared" si="1"/>
        <v>3000</v>
      </c>
      <c r="Y17" s="27">
        <f t="shared" si="0"/>
        <v>-0.13219267906501136</v>
      </c>
    </row>
    <row r="18" spans="1:27" ht="12.95" customHeight="1" thickTop="1" thickBot="1" x14ac:dyDescent="0.25">
      <c r="A18" s="28" t="s">
        <v>282</v>
      </c>
      <c r="B18" s="24"/>
      <c r="C18" s="47">
        <f ca="1">+C15</f>
        <v>59612.645050132312</v>
      </c>
      <c r="D18" s="48">
        <f ca="1">C16</f>
        <v>2.2268215793646715</v>
      </c>
      <c r="E18" s="44"/>
      <c r="F18" s="36"/>
    </row>
    <row r="19" spans="1:27" ht="12.95" customHeight="1" thickBot="1" x14ac:dyDescent="0.25">
      <c r="A19" s="28" t="s">
        <v>283</v>
      </c>
      <c r="B19" s="24"/>
      <c r="C19" s="49">
        <f>+D15</f>
        <v>59612.543976175031</v>
      </c>
      <c r="D19" s="50">
        <f>+D16</f>
        <v>2.2267803759265559</v>
      </c>
      <c r="E19" s="44"/>
      <c r="F19" s="51"/>
    </row>
    <row r="20" spans="1:27" ht="12.95" customHeight="1" thickBot="1" x14ac:dyDescent="0.25">
      <c r="A20" s="37" t="s">
        <v>8</v>
      </c>
      <c r="B20" s="37" t="s">
        <v>9</v>
      </c>
      <c r="C20" s="37" t="s">
        <v>10</v>
      </c>
      <c r="D20" s="37" t="s">
        <v>15</v>
      </c>
      <c r="E20" s="37" t="s">
        <v>11</v>
      </c>
      <c r="F20" s="37" t="s">
        <v>12</v>
      </c>
      <c r="G20" s="37" t="s">
        <v>13</v>
      </c>
      <c r="H20" s="52" t="s">
        <v>53</v>
      </c>
      <c r="I20" s="52" t="s">
        <v>54</v>
      </c>
      <c r="J20" s="52" t="s">
        <v>55</v>
      </c>
      <c r="K20" s="52" t="s">
        <v>56</v>
      </c>
      <c r="L20" s="52" t="s">
        <v>27</v>
      </c>
      <c r="M20" s="52" t="s">
        <v>28</v>
      </c>
      <c r="N20" s="52" t="s">
        <v>29</v>
      </c>
      <c r="O20" s="52" t="s">
        <v>25</v>
      </c>
      <c r="P20" s="53" t="s">
        <v>24</v>
      </c>
      <c r="Q20" s="37" t="s">
        <v>17</v>
      </c>
      <c r="R20" s="53" t="s">
        <v>284</v>
      </c>
      <c r="S20" s="53" t="s">
        <v>57</v>
      </c>
      <c r="T20" s="53" t="s">
        <v>285</v>
      </c>
      <c r="U20" s="54" t="s">
        <v>58</v>
      </c>
    </row>
    <row r="21" spans="1:27" ht="12.95" customHeight="1" x14ac:dyDescent="0.2">
      <c r="A21" s="55" t="s">
        <v>71</v>
      </c>
      <c r="B21" s="56" t="s">
        <v>41</v>
      </c>
      <c r="C21" s="55">
        <v>26393.3</v>
      </c>
      <c r="D21" s="55" t="s">
        <v>54</v>
      </c>
      <c r="E21" s="57">
        <f>+(C21-C$7)/C$8</f>
        <v>-12822.839295497617</v>
      </c>
      <c r="F21" s="27">
        <f>ROUND(2*E21,0)/2</f>
        <v>-12823</v>
      </c>
      <c r="G21" s="27">
        <f>+C21-(C$7+F21*C$8)</f>
        <v>0.35785999999643536</v>
      </c>
      <c r="H21" s="27"/>
      <c r="I21" s="58">
        <f>G21</f>
        <v>0.35785999999643536</v>
      </c>
      <c r="L21" s="27"/>
      <c r="M21" s="27"/>
      <c r="N21" s="27"/>
      <c r="O21" s="27">
        <f ca="1">+C$11+C$12*F21</f>
        <v>-2.1410829857525071E-2</v>
      </c>
      <c r="P21" s="27">
        <f>+D$11+D$12*F21+D$13*F21^2</f>
        <v>1.1962002034945327</v>
      </c>
      <c r="Q21" s="59">
        <f>+C21-15018.5</f>
        <v>11374.8</v>
      </c>
      <c r="R21" s="24">
        <f>(P21-G21)^2</f>
        <v>0.70281429680123131</v>
      </c>
      <c r="S21" s="26">
        <v>0.1</v>
      </c>
      <c r="U21" s="36"/>
    </row>
    <row r="22" spans="1:27" ht="12.95" customHeight="1" x14ac:dyDescent="0.2">
      <c r="A22" s="55" t="s">
        <v>71</v>
      </c>
      <c r="B22" s="56" t="s">
        <v>41</v>
      </c>
      <c r="C22" s="55">
        <v>26415.359</v>
      </c>
      <c r="D22" s="55" t="s">
        <v>54</v>
      </c>
      <c r="E22" s="57">
        <f>+(C22-C$7)/C$8</f>
        <v>-12812.933241124114</v>
      </c>
      <c r="F22" s="27">
        <f>ROUND(2*E22,0)/2</f>
        <v>-12813</v>
      </c>
      <c r="G22" s="27">
        <f>+C22-(C$7+F22*C$8)</f>
        <v>0.14865999999892665</v>
      </c>
      <c r="H22" s="58">
        <f>G22</f>
        <v>0.14865999999892665</v>
      </c>
      <c r="L22" s="27"/>
      <c r="M22" s="27"/>
      <c r="N22" s="27"/>
      <c r="O22" s="27">
        <f ca="1">+C$11+C$12*F22</f>
        <v>-2.1395036210811447E-2</v>
      </c>
      <c r="P22" s="27">
        <f>+D$11+D$12*F22+D$13*F22^2</f>
        <v>1.1948604366303086</v>
      </c>
      <c r="Q22" s="59">
        <f>+C22-15018.5</f>
        <v>11396.859</v>
      </c>
      <c r="R22" s="24">
        <f>(P22-G22)^2</f>
        <v>1.0945353536076943</v>
      </c>
      <c r="S22" s="26">
        <v>0.2</v>
      </c>
      <c r="U22" s="36"/>
      <c r="AA22" s="26"/>
    </row>
    <row r="23" spans="1:27" ht="12.95" customHeight="1" x14ac:dyDescent="0.2">
      <c r="A23" s="55" t="s">
        <v>71</v>
      </c>
      <c r="B23" s="56" t="s">
        <v>41</v>
      </c>
      <c r="C23" s="55">
        <v>26444.441999999999</v>
      </c>
      <c r="D23" s="55" t="s">
        <v>54</v>
      </c>
      <c r="E23" s="57">
        <f>+(C23-C$7)/C$8</f>
        <v>-12799.872912943121</v>
      </c>
      <c r="F23" s="27">
        <f>ROUND(2*E23,0)/2</f>
        <v>-12800</v>
      </c>
      <c r="G23" s="27">
        <f>+C23-(C$7+F23*C$8)</f>
        <v>0.28299999999944703</v>
      </c>
      <c r="H23" s="58">
        <f>G23</f>
        <v>0.28299999999944703</v>
      </c>
      <c r="L23" s="27"/>
      <c r="M23" s="27"/>
      <c r="N23" s="27"/>
      <c r="O23" s="27">
        <f ca="1">+C$11+C$12*F23</f>
        <v>-2.1374504470083738E-2</v>
      </c>
      <c r="P23" s="27">
        <f>+D$11+D$12*F23+D$13*F23^2</f>
        <v>1.193119685573889</v>
      </c>
      <c r="Q23" s="59">
        <f>+C23-15018.5</f>
        <v>11425.941999999999</v>
      </c>
      <c r="R23" s="24">
        <f>(P23-G23)^2</f>
        <v>0.82831784207012116</v>
      </c>
      <c r="S23" s="26">
        <v>0.2</v>
      </c>
      <c r="U23" s="36"/>
      <c r="AA23" s="26"/>
    </row>
    <row r="24" spans="1:27" ht="12.95" customHeight="1" x14ac:dyDescent="0.2">
      <c r="A24" s="55" t="s">
        <v>71</v>
      </c>
      <c r="B24" s="56" t="s">
        <v>41</v>
      </c>
      <c r="C24" s="55">
        <v>26631.402999999998</v>
      </c>
      <c r="D24" s="55" t="s">
        <v>54</v>
      </c>
      <c r="E24" s="57">
        <f>+(C24-C$7)/C$8</f>
        <v>-12715.914173574874</v>
      </c>
      <c r="F24" s="27">
        <f>ROUND(2*E24,0)/2</f>
        <v>-12716</v>
      </c>
      <c r="G24" s="27">
        <f>+C24-(C$7+F24*C$8)</f>
        <v>0.1911199999958626</v>
      </c>
      <c r="H24" s="58">
        <f>G24</f>
        <v>0.1911199999958626</v>
      </c>
      <c r="L24" s="27"/>
      <c r="M24" s="27"/>
      <c r="N24" s="27"/>
      <c r="O24" s="27">
        <f ca="1">+C$11+C$12*F24</f>
        <v>-2.124183783768931E-2</v>
      </c>
      <c r="P24" s="27">
        <f>+D$11+D$12*F24+D$13*F24^2</f>
        <v>1.1818975313394322</v>
      </c>
      <c r="Q24" s="59">
        <f>+C24-15018.5</f>
        <v>11612.902999999998</v>
      </c>
      <c r="R24" s="24">
        <f>(P24-G24)^2</f>
        <v>0.98164011661525807</v>
      </c>
      <c r="S24" s="26">
        <v>0.2</v>
      </c>
      <c r="U24" s="36"/>
      <c r="AA24" s="26"/>
    </row>
    <row r="25" spans="1:27" ht="12.95" customHeight="1" x14ac:dyDescent="0.2">
      <c r="A25" s="55" t="s">
        <v>71</v>
      </c>
      <c r="B25" s="56" t="s">
        <v>41</v>
      </c>
      <c r="C25" s="55">
        <v>26631.424999999999</v>
      </c>
      <c r="D25" s="55" t="s">
        <v>54</v>
      </c>
      <c r="E25" s="57">
        <f>+(C25-C$7)/C$8</f>
        <v>-12715.904294015683</v>
      </c>
      <c r="F25" s="27">
        <f>ROUND(2*E25,0)/2</f>
        <v>-12716</v>
      </c>
      <c r="G25" s="27">
        <f>+C25-(C$7+F25*C$8)</f>
        <v>0.21311999999670661</v>
      </c>
      <c r="H25" s="58">
        <f>G25</f>
        <v>0.21311999999670661</v>
      </c>
      <c r="L25" s="27"/>
      <c r="M25" s="27"/>
      <c r="N25" s="27"/>
      <c r="O25" s="27">
        <f ca="1">+C$11+C$12*F25</f>
        <v>-2.124183783768931E-2</v>
      </c>
      <c r="P25" s="27">
        <f>+D$11+D$12*F25+D$13*F25^2</f>
        <v>1.1818975313394322</v>
      </c>
      <c r="Q25" s="59">
        <f>+C25-15018.5</f>
        <v>11612.924999999999</v>
      </c>
      <c r="R25" s="24">
        <f>(P25-G25)^2</f>
        <v>0.93852990523450563</v>
      </c>
      <c r="S25" s="26">
        <v>0.2</v>
      </c>
    </row>
    <row r="26" spans="1:27" ht="12.95" customHeight="1" x14ac:dyDescent="0.2">
      <c r="A26" s="55" t="s">
        <v>71</v>
      </c>
      <c r="B26" s="56" t="s">
        <v>41</v>
      </c>
      <c r="C26" s="55">
        <v>26651.53</v>
      </c>
      <c r="D26" s="55" t="s">
        <v>54</v>
      </c>
      <c r="E26" s="57">
        <f>+(C26-C$7)/C$8</f>
        <v>-12706.875724126783</v>
      </c>
      <c r="F26" s="27">
        <f>ROUND(2*E26,0)/2</f>
        <v>-12707</v>
      </c>
      <c r="G26" s="27">
        <f>+C26-(C$7+F26*C$8)</f>
        <v>0.27673999999751686</v>
      </c>
      <c r="H26" s="58">
        <f>G26</f>
        <v>0.27673999999751686</v>
      </c>
      <c r="L26" s="27"/>
      <c r="M26" s="27"/>
      <c r="N26" s="27"/>
      <c r="O26" s="27">
        <f ca="1">+C$11+C$12*F26</f>
        <v>-2.122762355564705E-2</v>
      </c>
      <c r="P26" s="27">
        <f>+D$11+D$12*F26+D$13*F26^2</f>
        <v>1.1806978054665684</v>
      </c>
      <c r="Q26" s="59">
        <f>+C26-15018.5</f>
        <v>11633.029999999999</v>
      </c>
      <c r="R26" s="24">
        <f>(P26-G26)^2</f>
        <v>0.81713971406842367</v>
      </c>
      <c r="S26" s="26">
        <v>0.2</v>
      </c>
    </row>
    <row r="27" spans="1:27" ht="12.95" customHeight="1" x14ac:dyDescent="0.2">
      <c r="A27" s="55" t="s">
        <v>71</v>
      </c>
      <c r="B27" s="56" t="s">
        <v>41</v>
      </c>
      <c r="C27" s="55">
        <v>26769.455999999998</v>
      </c>
      <c r="D27" s="55" t="s">
        <v>54</v>
      </c>
      <c r="E27" s="57">
        <f>+(C27-C$7)/C$8</f>
        <v>-12653.918592432259</v>
      </c>
      <c r="F27" s="27">
        <f>ROUND(2*E27,0)/2</f>
        <v>-12654</v>
      </c>
      <c r="G27" s="27">
        <f>+C27-(C$7+F27*C$8)</f>
        <v>0.18127999999705935</v>
      </c>
      <c r="H27" s="58">
        <f>G27</f>
        <v>0.18127999999705935</v>
      </c>
      <c r="L27" s="27"/>
      <c r="M27" s="27"/>
      <c r="N27" s="27"/>
      <c r="O27" s="27">
        <f ca="1">+C$11+C$12*F27</f>
        <v>-2.114391722806485E-2</v>
      </c>
      <c r="P27" s="27">
        <f>+D$11+D$12*F27+D$13*F27^2</f>
        <v>1.1736431481516323</v>
      </c>
      <c r="Q27" s="59">
        <f>+C27-15018.5</f>
        <v>11750.955999999998</v>
      </c>
      <c r="R27" s="24">
        <f>(P27-G27)^2</f>
        <v>0.98478461781525484</v>
      </c>
      <c r="S27" s="26">
        <v>0.2</v>
      </c>
    </row>
    <row r="28" spans="1:27" ht="12.95" customHeight="1" x14ac:dyDescent="0.2">
      <c r="A28" s="55" t="s">
        <v>71</v>
      </c>
      <c r="B28" s="56" t="s">
        <v>41</v>
      </c>
      <c r="C28" s="55">
        <v>27535.423999999999</v>
      </c>
      <c r="D28" s="55" t="s">
        <v>54</v>
      </c>
      <c r="E28" s="57">
        <f>+(C28-C$7)/C$8</f>
        <v>-12309.944674468527</v>
      </c>
      <c r="F28" s="27">
        <f>ROUND(2*E28,0)/2</f>
        <v>-12310</v>
      </c>
      <c r="G28" s="27">
        <f>+C28-(C$7+F28*C$8)</f>
        <v>0.1231999999981781</v>
      </c>
      <c r="H28" s="58">
        <f>G28</f>
        <v>0.1231999999981781</v>
      </c>
      <c r="L28" s="27"/>
      <c r="M28" s="27"/>
      <c r="N28" s="27"/>
      <c r="O28" s="27">
        <f ca="1">+C$11+C$12*F28</f>
        <v>-2.0600615781116233E-2</v>
      </c>
      <c r="P28" s="27">
        <f>+D$11+D$12*F28+D$13*F28^2</f>
        <v>1.1282864529695831</v>
      </c>
      <c r="Q28" s="59">
        <f>+C28-15018.5</f>
        <v>12516.923999999999</v>
      </c>
      <c r="R28" s="24">
        <f>(P28-G28)^2</f>
        <v>1.0101987779466404</v>
      </c>
      <c r="S28" s="26">
        <v>0.2</v>
      </c>
    </row>
    <row r="29" spans="1:27" ht="12.95" customHeight="1" x14ac:dyDescent="0.2">
      <c r="A29" s="55" t="s">
        <v>71</v>
      </c>
      <c r="B29" s="56" t="s">
        <v>41</v>
      </c>
      <c r="C29" s="55">
        <v>27544.387999999999</v>
      </c>
      <c r="D29" s="55" t="s">
        <v>54</v>
      </c>
      <c r="E29" s="57">
        <f>+(C29-C$7)/C$8</f>
        <v>-12305.919203168645</v>
      </c>
      <c r="F29" s="27">
        <f>ROUND(2*E29,0)/2</f>
        <v>-12306</v>
      </c>
      <c r="G29" s="27">
        <f>+C29-(C$7+F29*C$8)</f>
        <v>0.17991999999867403</v>
      </c>
      <c r="H29" s="58">
        <f>G29</f>
        <v>0.17991999999867403</v>
      </c>
      <c r="L29" s="27"/>
      <c r="M29" s="27"/>
      <c r="N29" s="27"/>
      <c r="O29" s="27">
        <f ca="1">+C$11+C$12*F29</f>
        <v>-2.0594298322430784E-2</v>
      </c>
      <c r="P29" s="27">
        <f>+D$11+D$12*F29+D$13*F29^2</f>
        <v>1.1277634530387848</v>
      </c>
      <c r="Q29" s="59">
        <f>+C29-15018.5</f>
        <v>12525.887999999999</v>
      </c>
      <c r="R29" s="24">
        <f>(P29-G29)^2</f>
        <v>0.89840721147100067</v>
      </c>
      <c r="S29" s="26">
        <v>0.2</v>
      </c>
    </row>
    <row r="30" spans="1:27" ht="12.95" customHeight="1" x14ac:dyDescent="0.2">
      <c r="A30" s="55" t="s">
        <v>71</v>
      </c>
      <c r="B30" s="56" t="s">
        <v>41</v>
      </c>
      <c r="C30" s="55">
        <v>28183.424999999999</v>
      </c>
      <c r="D30" s="55" t="s">
        <v>54</v>
      </c>
      <c r="E30" s="57">
        <f>+(C30-C$7)/C$8</f>
        <v>-12018.946300105084</v>
      </c>
      <c r="F30" s="27">
        <f>ROUND(2*E30,0)/2</f>
        <v>-12019</v>
      </c>
      <c r="G30" s="27">
        <f>+C30-(C$7+F30*C$8)</f>
        <v>0.11957999999867752</v>
      </c>
      <c r="H30" s="58">
        <f>G30</f>
        <v>0.11957999999867752</v>
      </c>
      <c r="L30" s="27"/>
      <c r="M30" s="27"/>
      <c r="N30" s="27"/>
      <c r="O30" s="27">
        <f ca="1">+C$11+C$12*F30</f>
        <v>-2.0141020661749817E-2</v>
      </c>
      <c r="P30" s="27">
        <f>+D$11+D$12*F30+D$13*F30^2</f>
        <v>1.0905024086067794</v>
      </c>
      <c r="Q30" s="59">
        <f>+C30-15018.5</f>
        <v>13164.924999999999</v>
      </c>
      <c r="R30" s="24">
        <f>(P30-G30)^2</f>
        <v>0.94269032353735793</v>
      </c>
      <c r="S30" s="26">
        <v>0.2</v>
      </c>
    </row>
    <row r="31" spans="1:27" ht="12.95" customHeight="1" x14ac:dyDescent="0.2">
      <c r="A31" s="55" t="s">
        <v>71</v>
      </c>
      <c r="B31" s="56" t="s">
        <v>41</v>
      </c>
      <c r="C31" s="55">
        <v>28693.435000000001</v>
      </c>
      <c r="D31" s="55" t="s">
        <v>54</v>
      </c>
      <c r="E31" s="57">
        <f>+(C31-C$7)/C$8</f>
        <v>-11789.91566449017</v>
      </c>
      <c r="F31" s="27">
        <f>ROUND(2*E31,0)/2</f>
        <v>-11790</v>
      </c>
      <c r="G31" s="27">
        <f>+C31-(C$7+F31*C$8)</f>
        <v>0.18779999999969732</v>
      </c>
      <c r="H31" s="58">
        <f>G31</f>
        <v>0.18779999999969732</v>
      </c>
      <c r="L31" s="27"/>
      <c r="M31" s="27"/>
      <c r="N31" s="27"/>
      <c r="O31" s="27">
        <f ca="1">+C$11+C$12*F31</f>
        <v>-1.9779346152007861E-2</v>
      </c>
      <c r="P31" s="27">
        <f>+D$11+D$12*F31+D$13*F31^2</f>
        <v>1.0611452748510282</v>
      </c>
      <c r="Q31" s="59">
        <f>+C31-15018.5</f>
        <v>13674.935000000001</v>
      </c>
      <c r="R31" s="24">
        <f>(P31-G31)^2</f>
        <v>0.76273196910514662</v>
      </c>
      <c r="S31" s="26">
        <v>0.2</v>
      </c>
    </row>
    <row r="32" spans="1:27" ht="12.95" customHeight="1" x14ac:dyDescent="0.2">
      <c r="A32" s="55" t="s">
        <v>71</v>
      </c>
      <c r="B32" s="56" t="s">
        <v>41</v>
      </c>
      <c r="C32" s="55">
        <v>29163.384999999998</v>
      </c>
      <c r="D32" s="55" t="s">
        <v>54</v>
      </c>
      <c r="E32" s="57">
        <f>+(C32-C$7)/C$8</f>
        <v>-11578.874808022203</v>
      </c>
      <c r="F32" s="27">
        <f>ROUND(2*E32,0)/2</f>
        <v>-11579</v>
      </c>
      <c r="G32" s="27">
        <f>+C32-(C$7+F32*C$8)</f>
        <v>0.27877999999691383</v>
      </c>
      <c r="H32" s="58">
        <f>G32</f>
        <v>0.27877999999691383</v>
      </c>
      <c r="L32" s="27"/>
      <c r="M32" s="27"/>
      <c r="N32" s="27"/>
      <c r="O32" s="27">
        <f ca="1">+C$11+C$12*F32</f>
        <v>-1.9446100206350427E-2</v>
      </c>
      <c r="P32" s="27">
        <f>+D$11+D$12*F32+D$13*F32^2</f>
        <v>1.0343893820342138</v>
      </c>
      <c r="Q32" s="59">
        <f>+C32-15018.5</f>
        <v>14144.884999999998</v>
      </c>
      <c r="R32" s="24">
        <f>(P32-G32)^2</f>
        <v>0.57094553822279037</v>
      </c>
      <c r="S32" s="26">
        <v>0.2</v>
      </c>
    </row>
    <row r="33" spans="1:19" ht="12.95" customHeight="1" x14ac:dyDescent="0.2">
      <c r="A33" s="55" t="s">
        <v>71</v>
      </c>
      <c r="B33" s="56" t="s">
        <v>41</v>
      </c>
      <c r="C33" s="55">
        <v>29194.458999999999</v>
      </c>
      <c r="D33" s="55" t="s">
        <v>54</v>
      </c>
      <c r="E33" s="57">
        <f>+(C33-C$7)/C$8</f>
        <v>-11564.920379734331</v>
      </c>
      <c r="F33" s="27">
        <f>ROUND(2*E33,0)/2</f>
        <v>-11565</v>
      </c>
      <c r="G33" s="27">
        <f>+C33-(C$7+F33*C$8)</f>
        <v>0.1772999999957392</v>
      </c>
      <c r="H33" s="58">
        <f>G33</f>
        <v>0.1772999999957392</v>
      </c>
      <c r="L33" s="27"/>
      <c r="M33" s="27"/>
      <c r="N33" s="27"/>
      <c r="O33" s="27">
        <f ca="1">+C$11+C$12*F33</f>
        <v>-1.9423989100951354E-2</v>
      </c>
      <c r="P33" s="27">
        <f>+D$11+D$12*F33+D$13*F33^2</f>
        <v>1.0326240743453621</v>
      </c>
      <c r="Q33" s="59">
        <f>+C33-15018.5</f>
        <v>14175.958999999999</v>
      </c>
      <c r="R33" s="24">
        <f>(P33-G33)^2</f>
        <v>0.73157927216203922</v>
      </c>
      <c r="S33" s="26">
        <v>0.2</v>
      </c>
    </row>
    <row r="34" spans="1:19" ht="12.95" customHeight="1" x14ac:dyDescent="0.2">
      <c r="A34" s="55" t="s">
        <v>71</v>
      </c>
      <c r="B34" s="56" t="s">
        <v>41</v>
      </c>
      <c r="C34" s="55">
        <v>29194.530999999999</v>
      </c>
      <c r="D34" s="55" t="s">
        <v>54</v>
      </c>
      <c r="E34" s="57">
        <f>+(C34-C$7)/C$8</f>
        <v>-11564.88804663152</v>
      </c>
      <c r="F34" s="27">
        <f>ROUND(2*E34,0)/2</f>
        <v>-11565</v>
      </c>
      <c r="G34" s="27">
        <f>+C34-(C$7+F34*C$8)</f>
        <v>0.24929999999585561</v>
      </c>
      <c r="H34" s="58">
        <f>G34</f>
        <v>0.24929999999585561</v>
      </c>
      <c r="L34" s="27"/>
      <c r="M34" s="27"/>
      <c r="N34" s="27"/>
      <c r="O34" s="27">
        <f ca="1">+C$11+C$12*F34</f>
        <v>-1.9423989100951354E-2</v>
      </c>
      <c r="P34" s="27">
        <f>+D$11+D$12*F34+D$13*F34^2</f>
        <v>1.0326240743453621</v>
      </c>
      <c r="Q34" s="59">
        <f>+C34-15018.5</f>
        <v>14176.030999999999</v>
      </c>
      <c r="R34" s="24">
        <f>(P34-G34)^2</f>
        <v>0.61359660545551109</v>
      </c>
      <c r="S34" s="26">
        <v>0.2</v>
      </c>
    </row>
    <row r="35" spans="1:19" ht="12.95" customHeight="1" x14ac:dyDescent="0.2">
      <c r="A35" s="55" t="s">
        <v>71</v>
      </c>
      <c r="B35" s="56" t="s">
        <v>41</v>
      </c>
      <c r="C35" s="55">
        <v>29341.401000000002</v>
      </c>
      <c r="D35" s="55" t="s">
        <v>54</v>
      </c>
      <c r="E35" s="57">
        <f>+(C35-C$7)/C$8</f>
        <v>-11498.93300760726</v>
      </c>
      <c r="F35" s="27">
        <f>ROUND(2*E35,0)/2</f>
        <v>-11499</v>
      </c>
      <c r="G35" s="27">
        <f>+C35-(C$7+F35*C$8)</f>
        <v>0.14918000000034226</v>
      </c>
      <c r="H35" s="58">
        <f>G35</f>
        <v>0.14918000000034226</v>
      </c>
      <c r="L35" s="27"/>
      <c r="M35" s="27"/>
      <c r="N35" s="27"/>
      <c r="O35" s="27">
        <f ca="1">+C$11+C$12*F35</f>
        <v>-1.9319751032641448E-2</v>
      </c>
      <c r="P35" s="27">
        <f>+D$11+D$12*F35+D$13*F35^2</f>
        <v>1.0243186124634069</v>
      </c>
      <c r="Q35" s="59">
        <f>+C35-15018.5</f>
        <v>14322.901000000002</v>
      </c>
      <c r="R35" s="24">
        <f>(P35-G35)^2</f>
        <v>0.7658675910237781</v>
      </c>
      <c r="S35" s="26">
        <v>0.2</v>
      </c>
    </row>
    <row r="36" spans="1:19" ht="12.95" customHeight="1" x14ac:dyDescent="0.2">
      <c r="A36" s="55" t="s">
        <v>71</v>
      </c>
      <c r="B36" s="56" t="s">
        <v>41</v>
      </c>
      <c r="C36" s="55">
        <v>29499.544000000002</v>
      </c>
      <c r="D36" s="55" t="s">
        <v>54</v>
      </c>
      <c r="E36" s="57">
        <f>+(C36-C$7)/C$8</f>
        <v>-11427.91559263883</v>
      </c>
      <c r="F36" s="27">
        <f>ROUND(2*E36,0)/2</f>
        <v>-11428</v>
      </c>
      <c r="G36" s="27">
        <f>+C36-(C$7+F36*C$8)</f>
        <v>0.18795999999929336</v>
      </c>
      <c r="H36" s="58">
        <f>G36</f>
        <v>0.18795999999929336</v>
      </c>
      <c r="L36" s="27"/>
      <c r="M36" s="27"/>
      <c r="N36" s="27"/>
      <c r="O36" s="27">
        <f ca="1">+C$11+C$12*F36</f>
        <v>-1.9207616140974725E-2</v>
      </c>
      <c r="P36" s="27">
        <f>+D$11+D$12*F36+D$13*F36^2</f>
        <v>1.0154147196561909</v>
      </c>
      <c r="Q36" s="59">
        <f>+C36-15018.5</f>
        <v>14481.044000000002</v>
      </c>
      <c r="R36" s="24">
        <f>(P36-G36)^2</f>
        <v>0.68468131308247493</v>
      </c>
      <c r="S36" s="26">
        <v>0.2</v>
      </c>
    </row>
    <row r="37" spans="1:19" ht="12.95" customHeight="1" x14ac:dyDescent="0.2">
      <c r="A37" s="55" t="s">
        <v>71</v>
      </c>
      <c r="B37" s="56" t="s">
        <v>41</v>
      </c>
      <c r="C37" s="55">
        <v>29546.308000000001</v>
      </c>
      <c r="D37" s="55" t="s">
        <v>54</v>
      </c>
      <c r="E37" s="57">
        <f>+(C37-C$7)/C$8</f>
        <v>-11406.91524236355</v>
      </c>
      <c r="F37" s="27">
        <f>ROUND(2*E37,0)/2</f>
        <v>-11407</v>
      </c>
      <c r="G37" s="27">
        <f>+C37-(C$7+F37*C$8)</f>
        <v>0.1887399999977788</v>
      </c>
      <c r="H37" s="58">
        <f>G37</f>
        <v>0.1887399999977788</v>
      </c>
      <c r="L37" s="27"/>
      <c r="M37" s="27"/>
      <c r="N37" s="27"/>
      <c r="O37" s="27">
        <f ca="1">+C$11+C$12*F37</f>
        <v>-1.9174449482876121E-2</v>
      </c>
      <c r="P37" s="27">
        <f>+D$11+D$12*F37+D$13*F37^2</f>
        <v>1.0127872856527735</v>
      </c>
      <c r="Q37" s="59">
        <f>+C37-15018.5</f>
        <v>14527.808000000001</v>
      </c>
      <c r="R37" s="24">
        <f>(P37-G37)^2</f>
        <v>0.67905392899536454</v>
      </c>
      <c r="S37" s="26">
        <v>0.2</v>
      </c>
    </row>
    <row r="38" spans="1:19" ht="12.95" customHeight="1" x14ac:dyDescent="0.2">
      <c r="A38" s="55" t="s">
        <v>71</v>
      </c>
      <c r="B38" s="56" t="s">
        <v>41</v>
      </c>
      <c r="C38" s="55">
        <v>29619.727999999999</v>
      </c>
      <c r="D38" s="55" t="s">
        <v>54</v>
      </c>
      <c r="E38" s="57">
        <f>+(C38-C$7)/C$8</f>
        <v>-11373.944458914508</v>
      </c>
      <c r="F38" s="27">
        <f>ROUND(2*E38,0)/2</f>
        <v>-11374</v>
      </c>
      <c r="G38" s="27">
        <f>+C38-(C$7+F38*C$8)</f>
        <v>0.12367999999696622</v>
      </c>
      <c r="H38" s="58">
        <f>G38</f>
        <v>0.12367999999696622</v>
      </c>
      <c r="L38" s="27"/>
      <c r="M38" s="27"/>
      <c r="N38" s="27"/>
      <c r="O38" s="27">
        <f ca="1">+C$11+C$12*F38</f>
        <v>-1.9122330448721164E-2</v>
      </c>
      <c r="P38" s="27">
        <f>+D$11+D$12*F38+D$13*F38^2</f>
        <v>1.0086640980314703</v>
      </c>
      <c r="Q38" s="59">
        <f>+C38-15018.5</f>
        <v>14601.227999999999</v>
      </c>
      <c r="R38" s="24">
        <f>(P38-G38)^2</f>
        <v>0.78319685377394466</v>
      </c>
      <c r="S38" s="26">
        <v>0.2</v>
      </c>
    </row>
    <row r="39" spans="1:19" ht="12.95" customHeight="1" x14ac:dyDescent="0.2">
      <c r="A39" s="55" t="s">
        <v>71</v>
      </c>
      <c r="B39" s="56" t="s">
        <v>41</v>
      </c>
      <c r="C39" s="55">
        <v>30254.483</v>
      </c>
      <c r="D39" s="55" t="s">
        <v>54</v>
      </c>
      <c r="E39" s="57">
        <f>+(C39-C$7)/C$8</f>
        <v>-11088.894477326412</v>
      </c>
      <c r="F39" s="27">
        <f>ROUND(2*E39,0)/2</f>
        <v>-11089</v>
      </c>
      <c r="G39" s="27">
        <f>+C39-(C$7+F39*C$8)</f>
        <v>0.23497999999744934</v>
      </c>
      <c r="H39" s="58">
        <f>G39</f>
        <v>0.23497999999744934</v>
      </c>
      <c r="L39" s="27"/>
      <c r="M39" s="27"/>
      <c r="N39" s="27"/>
      <c r="O39" s="27">
        <f ca="1">+C$11+C$12*F39</f>
        <v>-1.8672211517382922E-2</v>
      </c>
      <c r="P39" s="27">
        <f>+D$11+D$12*F39+D$13*F39^2</f>
        <v>0.97334145250902349</v>
      </c>
      <c r="Q39" s="59">
        <f>+C39-15018.5</f>
        <v>15235.983</v>
      </c>
      <c r="R39" s="24">
        <f>(P39-G39)^2</f>
        <v>0.54517763455500157</v>
      </c>
      <c r="S39" s="26">
        <v>0.2</v>
      </c>
    </row>
    <row r="40" spans="1:19" ht="12.95" customHeight="1" x14ac:dyDescent="0.2">
      <c r="A40" s="55" t="s">
        <v>71</v>
      </c>
      <c r="B40" s="56" t="s">
        <v>48</v>
      </c>
      <c r="C40" s="55">
        <v>30558.385999999999</v>
      </c>
      <c r="D40" s="55" t="s">
        <v>54</v>
      </c>
      <c r="E40" s="57">
        <f>+(C40-C$7)/C$8</f>
        <v>-10952.420492002049</v>
      </c>
      <c r="F40" s="27">
        <f>ROUND(2*E40,0)/2</f>
        <v>-10952.5</v>
      </c>
      <c r="G40" s="27">
        <f>+C40-(C$7+F40*C$8)</f>
        <v>0.17704999999841675</v>
      </c>
      <c r="H40" s="58">
        <f>G40</f>
        <v>0.17704999999841675</v>
      </c>
      <c r="L40" s="27"/>
      <c r="M40" s="27"/>
      <c r="N40" s="27"/>
      <c r="O40" s="27">
        <f ca="1">+C$11+C$12*F40</f>
        <v>-1.8456628239741976E-2</v>
      </c>
      <c r="P40" s="27">
        <f>+D$11+D$12*F40+D$13*F40^2</f>
        <v>0.95660577183353357</v>
      </c>
      <c r="Q40" s="59">
        <f>+C40-15018.5</f>
        <v>15539.885999999999</v>
      </c>
      <c r="R40" s="24">
        <f>(P40-G40)^2</f>
        <v>0.60770720140144474</v>
      </c>
      <c r="S40" s="26">
        <v>0.2</v>
      </c>
    </row>
    <row r="41" spans="1:19" ht="12.95" customHeight="1" x14ac:dyDescent="0.2">
      <c r="A41" s="55" t="s">
        <v>71</v>
      </c>
      <c r="B41" s="56" t="s">
        <v>41</v>
      </c>
      <c r="C41" s="55">
        <v>30608.5</v>
      </c>
      <c r="D41" s="55" t="s">
        <v>54</v>
      </c>
      <c r="E41" s="57">
        <f>+(C41-C$7)/C$8</f>
        <v>-10929.915754304346</v>
      </c>
      <c r="F41" s="27">
        <f>ROUND(2*E41,0)/2</f>
        <v>-10930</v>
      </c>
      <c r="G41" s="27">
        <f>+C41-(C$7+F41*C$8)</f>
        <v>0.18759999999747379</v>
      </c>
      <c r="H41" s="58">
        <f>G41</f>
        <v>0.18759999999747379</v>
      </c>
      <c r="L41" s="27"/>
      <c r="M41" s="27"/>
      <c r="N41" s="27"/>
      <c r="O41" s="27">
        <f ca="1">+C$11+C$12*F41</f>
        <v>-1.8421092534636325E-2</v>
      </c>
      <c r="P41" s="27">
        <f>+D$11+D$12*F41+D$13*F41^2</f>
        <v>0.95385846033955313</v>
      </c>
      <c r="Q41" s="59">
        <f>+C41-15018.5</f>
        <v>15590</v>
      </c>
      <c r="R41" s="24">
        <f>(P41-G41)^2</f>
        <v>0.58715202804581401</v>
      </c>
      <c r="S41" s="26">
        <v>0.2</v>
      </c>
    </row>
    <row r="42" spans="1:19" ht="12.95" customHeight="1" x14ac:dyDescent="0.2">
      <c r="A42" s="55" t="s">
        <v>71</v>
      </c>
      <c r="B42" s="56" t="s">
        <v>41</v>
      </c>
      <c r="C42" s="55">
        <v>30795.554</v>
      </c>
      <c r="D42" s="55" t="s">
        <v>54</v>
      </c>
      <c r="E42" s="57">
        <f>+(C42-C$7)/C$8</f>
        <v>-10845.915251344968</v>
      </c>
      <c r="F42" s="27">
        <f>ROUND(2*E42,0)/2</f>
        <v>-10846</v>
      </c>
      <c r="G42" s="27">
        <f>+C42-(C$7+F42*C$8)</f>
        <v>0.18871999999828404</v>
      </c>
      <c r="H42" s="58">
        <f>G42</f>
        <v>0.18871999999828404</v>
      </c>
      <c r="L42" s="27"/>
      <c r="M42" s="27"/>
      <c r="N42" s="27"/>
      <c r="O42" s="27">
        <f ca="1">+C$11+C$12*F42</f>
        <v>-1.8288425902241896E-2</v>
      </c>
      <c r="P42" s="27">
        <f>+D$11+D$12*F42+D$13*F42^2</f>
        <v>0.94363013085173675</v>
      </c>
      <c r="Q42" s="59">
        <f>+C42-15018.5</f>
        <v>15777.054</v>
      </c>
      <c r="R42" s="24">
        <f>(P42-G42)^2</f>
        <v>0.56988930566517715</v>
      </c>
      <c r="S42" s="26">
        <v>0.2</v>
      </c>
    </row>
    <row r="43" spans="1:19" ht="12.95" customHeight="1" x14ac:dyDescent="0.2">
      <c r="A43" s="55" t="s">
        <v>71</v>
      </c>
      <c r="B43" s="56" t="s">
        <v>41</v>
      </c>
      <c r="C43" s="55">
        <v>30813.439999999999</v>
      </c>
      <c r="D43" s="55" t="s">
        <v>54</v>
      </c>
      <c r="E43" s="57">
        <f>+(C43-C$7)/C$8</f>
        <v>-10837.883169721847</v>
      </c>
      <c r="F43" s="27">
        <f>ROUND(2*E43,0)/2</f>
        <v>-10838</v>
      </c>
      <c r="G43" s="27">
        <f>+C43-(C$7+F43*C$8)</f>
        <v>0.26015999999799533</v>
      </c>
      <c r="H43" s="58">
        <f>G43</f>
        <v>0.26015999999799533</v>
      </c>
      <c r="L43" s="27"/>
      <c r="M43" s="27"/>
      <c r="N43" s="27"/>
      <c r="O43" s="27">
        <f ca="1">+C$11+C$12*F43</f>
        <v>-1.8275790984870997E-2</v>
      </c>
      <c r="P43" s="27">
        <f>+D$11+D$12*F43+D$13*F43^2</f>
        <v>0.94265833252202613</v>
      </c>
      <c r="Q43" s="59">
        <f>+C43-15018.5</f>
        <v>15794.939999999999</v>
      </c>
      <c r="R43" s="24">
        <f>(P43-G43)^2</f>
        <v>0.46580397389808254</v>
      </c>
      <c r="S43" s="26">
        <v>0.2</v>
      </c>
    </row>
    <row r="44" spans="1:19" ht="12.95" customHeight="1" x14ac:dyDescent="0.2">
      <c r="A44" s="55" t="s">
        <v>71</v>
      </c>
      <c r="B44" s="56" t="s">
        <v>41</v>
      </c>
      <c r="C44" s="55">
        <v>35988.400999999998</v>
      </c>
      <c r="D44" s="55" t="s">
        <v>54</v>
      </c>
      <c r="E44" s="57">
        <f>+(C44-C$7)/C$8</f>
        <v>-8513.9589189965973</v>
      </c>
      <c r="F44" s="27">
        <f>ROUND(2*E44,0)/2</f>
        <v>-8514</v>
      </c>
      <c r="G44" s="27">
        <f>+C44-(C$7+F44*C$8)</f>
        <v>9.1479999995499384E-2</v>
      </c>
      <c r="H44" s="58">
        <f>G44</f>
        <v>9.1479999995499384E-2</v>
      </c>
      <c r="L44" s="27"/>
      <c r="M44" s="27"/>
      <c r="N44" s="27"/>
      <c r="O44" s="27">
        <f ca="1">+C$11+C$12*F44</f>
        <v>-1.4605347488625121E-2</v>
      </c>
      <c r="P44" s="27">
        <f>+D$11+D$12*F44+D$13*F44^2</f>
        <v>0.67749536895857831</v>
      </c>
      <c r="Q44" s="59">
        <f>+C44-15018.5</f>
        <v>20969.900999999998</v>
      </c>
      <c r="R44" s="24">
        <f>(P44-G44)^2</f>
        <v>0.34341401266093352</v>
      </c>
      <c r="S44" s="26">
        <v>0.2</v>
      </c>
    </row>
    <row r="45" spans="1:19" ht="12.95" customHeight="1" x14ac:dyDescent="0.2">
      <c r="A45" s="55" t="s">
        <v>71</v>
      </c>
      <c r="B45" s="56" t="s">
        <v>41</v>
      </c>
      <c r="C45" s="55">
        <v>36607.398000000001</v>
      </c>
      <c r="D45" s="55" t="s">
        <v>54</v>
      </c>
      <c r="E45" s="57">
        <f>+(C45-C$7)/C$8</f>
        <v>-8235.9853962152301</v>
      </c>
      <c r="F45" s="27">
        <f>ROUND(2*E45,0)/2</f>
        <v>-8236</v>
      </c>
      <c r="G45" s="27">
        <f>+C45-(C$7+F45*C$8)</f>
        <v>3.2520000000658911E-2</v>
      </c>
      <c r="H45" s="58">
        <f>G45</f>
        <v>3.2520000000658911E-2</v>
      </c>
      <c r="L45" s="27"/>
      <c r="M45" s="27"/>
      <c r="N45" s="27"/>
      <c r="O45" s="27">
        <f ca="1">+C$11+C$12*F45</f>
        <v>-1.4166284109986414E-2</v>
      </c>
      <c r="P45" s="27">
        <f>+D$11+D$12*F45+D$13*F45^2</f>
        <v>0.64806450897648771</v>
      </c>
      <c r="Q45" s="59">
        <f>+C45-15018.5</f>
        <v>21588.898000000001</v>
      </c>
      <c r="R45" s="24">
        <f>(P45-G45)^2</f>
        <v>0.37889504253029416</v>
      </c>
      <c r="S45" s="26">
        <v>0.2</v>
      </c>
    </row>
    <row r="46" spans="1:19" ht="12.95" customHeight="1" x14ac:dyDescent="0.2">
      <c r="A46" s="55" t="s">
        <v>71</v>
      </c>
      <c r="B46" s="56" t="s">
        <v>41</v>
      </c>
      <c r="C46" s="55">
        <v>36607.440000000002</v>
      </c>
      <c r="D46" s="55" t="s">
        <v>54</v>
      </c>
      <c r="E46" s="57">
        <f>+(C46-C$7)/C$8</f>
        <v>-8235.966535238591</v>
      </c>
      <c r="F46" s="27">
        <f>ROUND(2*E46,0)/2</f>
        <v>-8236</v>
      </c>
      <c r="G46" s="27">
        <f>+C46-(C$7+F46*C$8)</f>
        <v>7.4520000001939479E-2</v>
      </c>
      <c r="H46" s="58">
        <f>G46</f>
        <v>7.4520000001939479E-2</v>
      </c>
      <c r="L46" s="27"/>
      <c r="M46" s="27"/>
      <c r="N46" s="27"/>
      <c r="O46" s="27">
        <f ca="1">+C$11+C$12*F46</f>
        <v>-1.4166284109986414E-2</v>
      </c>
      <c r="P46" s="27">
        <f>+D$11+D$12*F46+D$13*F46^2</f>
        <v>0.64806450897648771</v>
      </c>
      <c r="Q46" s="59">
        <f>+C46-15018.5</f>
        <v>21588.940000000002</v>
      </c>
      <c r="R46" s="24">
        <f>(P46-G46)^2</f>
        <v>0.32895330377485565</v>
      </c>
      <c r="S46" s="26">
        <v>0.2</v>
      </c>
    </row>
    <row r="47" spans="1:19" ht="12.95" customHeight="1" x14ac:dyDescent="0.2">
      <c r="A47" s="55" t="s">
        <v>71</v>
      </c>
      <c r="B47" s="56" t="s">
        <v>41</v>
      </c>
      <c r="C47" s="55">
        <v>36607.49</v>
      </c>
      <c r="D47" s="55" t="s">
        <v>54</v>
      </c>
      <c r="E47" s="57">
        <f>+(C47-C$7)/C$8</f>
        <v>-8235.9440816949755</v>
      </c>
      <c r="F47" s="27">
        <f>ROUND(2*E47,0)/2</f>
        <v>-8236</v>
      </c>
      <c r="G47" s="27">
        <f>+C47-(C$7+F47*C$8)</f>
        <v>0.1245199999975739</v>
      </c>
      <c r="H47" s="58">
        <f>G47</f>
        <v>0.1245199999975739</v>
      </c>
      <c r="L47" s="27"/>
      <c r="M47" s="27"/>
      <c r="N47" s="27"/>
      <c r="O47" s="27">
        <f ca="1">+C$11+C$12*F47</f>
        <v>-1.4166284109986414E-2</v>
      </c>
      <c r="P47" s="27">
        <f>+D$11+D$12*F47+D$13*F47^2</f>
        <v>0.64806450897648771</v>
      </c>
      <c r="Q47" s="59">
        <f>+C47-15018.5</f>
        <v>21588.989999999998</v>
      </c>
      <c r="R47" s="24">
        <f>(P47-G47)^2</f>
        <v>0.27409885288197194</v>
      </c>
      <c r="S47" s="26">
        <v>0.2</v>
      </c>
    </row>
    <row r="48" spans="1:19" ht="12.95" customHeight="1" x14ac:dyDescent="0.2">
      <c r="A48" s="55" t="s">
        <v>151</v>
      </c>
      <c r="B48" s="56" t="s">
        <v>41</v>
      </c>
      <c r="C48" s="55">
        <v>39248.432999999997</v>
      </c>
      <c r="D48" s="55" t="s">
        <v>54</v>
      </c>
      <c r="E48" s="57">
        <f>+(C48-C$7)/C$8</f>
        <v>-7049.9735048185321</v>
      </c>
      <c r="F48" s="27">
        <f>ROUND(2*E48,0)/2</f>
        <v>-7050</v>
      </c>
      <c r="G48" s="27">
        <f>+C48-(C$7+F48*C$8)</f>
        <v>5.8999999993829988E-2</v>
      </c>
      <c r="H48" s="27"/>
      <c r="I48" s="58">
        <f>G48</f>
        <v>5.8999999993829988E-2</v>
      </c>
      <c r="L48" s="27"/>
      <c r="M48" s="27"/>
      <c r="N48" s="27"/>
      <c r="O48" s="27">
        <f ca="1">+C$11+C$12*F48</f>
        <v>-1.229315760975078E-2</v>
      </c>
      <c r="P48" s="27">
        <f>+D$11+D$12*F48+D$13*F48^2</f>
        <v>0.52799964012309353</v>
      </c>
      <c r="Q48" s="59">
        <f>+C48-15018.5</f>
        <v>24229.932999999997</v>
      </c>
      <c r="R48" s="24">
        <f>(P48-G48)^2</f>
        <v>0.21996066244137871</v>
      </c>
      <c r="S48" s="26">
        <v>0.1</v>
      </c>
    </row>
    <row r="49" spans="1:21" ht="12.95" customHeight="1" x14ac:dyDescent="0.2">
      <c r="A49" s="55" t="s">
        <v>151</v>
      </c>
      <c r="B49" s="56" t="s">
        <v>41</v>
      </c>
      <c r="C49" s="55">
        <v>39248.487000000001</v>
      </c>
      <c r="D49" s="55" t="s">
        <v>54</v>
      </c>
      <c r="E49" s="57">
        <f>+(C49-C$7)/C$8</f>
        <v>-7049.949254991423</v>
      </c>
      <c r="F49" s="27">
        <f>ROUND(2*E49,0)/2</f>
        <v>-7050</v>
      </c>
      <c r="G49" s="27">
        <f>+C49-(C$7+F49*C$8)</f>
        <v>0.11299999999755528</v>
      </c>
      <c r="H49" s="27"/>
      <c r="I49" s="58">
        <f>G49</f>
        <v>0.11299999999755528</v>
      </c>
      <c r="L49" s="27"/>
      <c r="M49" s="27"/>
      <c r="N49" s="27"/>
      <c r="O49" s="27">
        <f ca="1">+C$11+C$12*F49</f>
        <v>-1.229315760975078E-2</v>
      </c>
      <c r="P49" s="27">
        <f>+D$11+D$12*F49+D$13*F49^2</f>
        <v>0.52799964012309353</v>
      </c>
      <c r="Q49" s="59">
        <f>+C49-15018.5</f>
        <v>24229.987000000001</v>
      </c>
      <c r="R49" s="24">
        <f>(P49-G49)^2</f>
        <v>0.17222470130432627</v>
      </c>
      <c r="S49" s="26">
        <v>0.1</v>
      </c>
    </row>
    <row r="50" spans="1:21" ht="12.95" customHeight="1" x14ac:dyDescent="0.2">
      <c r="A50" s="55" t="s">
        <v>151</v>
      </c>
      <c r="B50" s="56" t="s">
        <v>41</v>
      </c>
      <c r="C50" s="55">
        <v>39257.392</v>
      </c>
      <c r="D50" s="55" t="s">
        <v>54</v>
      </c>
      <c r="E50" s="57">
        <f>+(C50-C$7)/C$8</f>
        <v>-7045.9502788730124</v>
      </c>
      <c r="F50" s="27">
        <f>ROUND(2*E50,0)/2</f>
        <v>-7046</v>
      </c>
      <c r="G50" s="27">
        <f>+C50-(C$7+F50*C$8)</f>
        <v>0.11071999999694526</v>
      </c>
      <c r="H50" s="27"/>
      <c r="I50" s="58">
        <f>G50</f>
        <v>0.11071999999694526</v>
      </c>
      <c r="L50" s="27"/>
      <c r="M50" s="27"/>
      <c r="N50" s="27"/>
      <c r="O50" s="27">
        <f ca="1">+C$11+C$12*F50</f>
        <v>-1.2286840151065332E-2</v>
      </c>
      <c r="P50" s="27">
        <f>+D$11+D$12*F50+D$13*F50^2</f>
        <v>0.52760975753803829</v>
      </c>
      <c r="Q50" s="59">
        <f>+C50-15018.5</f>
        <v>24238.892</v>
      </c>
      <c r="R50" s="24">
        <f>(P50-G50)^2</f>
        <v>0.17379706994267133</v>
      </c>
      <c r="S50" s="26">
        <v>0.1</v>
      </c>
    </row>
    <row r="51" spans="1:21" ht="12.95" customHeight="1" x14ac:dyDescent="0.2">
      <c r="A51" s="55" t="s">
        <v>151</v>
      </c>
      <c r="B51" s="56" t="s">
        <v>41</v>
      </c>
      <c r="C51" s="55">
        <v>39257.394</v>
      </c>
      <c r="D51" s="55" t="s">
        <v>54</v>
      </c>
      <c r="E51" s="57">
        <f>+(C51-C$7)/C$8</f>
        <v>-7045.9493807312674</v>
      </c>
      <c r="F51" s="27">
        <f>ROUND(2*E51,0)/2</f>
        <v>-7046</v>
      </c>
      <c r="G51" s="27">
        <f>+C51-(C$7+F51*C$8)</f>
        <v>0.11271999999735272</v>
      </c>
      <c r="H51" s="27"/>
      <c r="I51" s="58">
        <f>G51</f>
        <v>0.11271999999735272</v>
      </c>
      <c r="L51" s="27"/>
      <c r="M51" s="27"/>
      <c r="N51" s="27"/>
      <c r="O51" s="27">
        <f ca="1">+C$11+C$12*F51</f>
        <v>-1.2286840151065332E-2</v>
      </c>
      <c r="P51" s="27">
        <f>+D$11+D$12*F51+D$13*F51^2</f>
        <v>0.52760975753803829</v>
      </c>
      <c r="Q51" s="59">
        <f>+C51-15018.5</f>
        <v>24238.894</v>
      </c>
      <c r="R51" s="24">
        <f>(P51-G51)^2</f>
        <v>0.17213351091216886</v>
      </c>
      <c r="S51" s="26">
        <v>0.1</v>
      </c>
    </row>
    <row r="52" spans="1:21" ht="12.95" customHeight="1" x14ac:dyDescent="0.2">
      <c r="A52" s="55" t="s">
        <v>151</v>
      </c>
      <c r="B52" s="56" t="s">
        <v>48</v>
      </c>
      <c r="C52" s="55">
        <v>40073.358999999997</v>
      </c>
      <c r="D52" s="55" t="s">
        <v>54</v>
      </c>
      <c r="E52" s="57">
        <f>+(C52-C$7)/C$8</f>
        <v>-6679.523266361899</v>
      </c>
      <c r="F52" s="27">
        <f>ROUND(2*E52,0)/2</f>
        <v>-6679.5</v>
      </c>
      <c r="G52" s="27">
        <f>+C52-(C$7+F52*C$8)</f>
        <v>-5.1810000004479662E-2</v>
      </c>
      <c r="H52" s="27"/>
      <c r="I52" s="58">
        <f>G52</f>
        <v>-5.1810000004479662E-2</v>
      </c>
      <c r="L52" s="27"/>
      <c r="M52" s="27"/>
      <c r="N52" s="27"/>
      <c r="O52" s="27">
        <f ca="1">+C$11+C$12*F52</f>
        <v>-1.1708002999011065E-2</v>
      </c>
      <c r="P52" s="27">
        <f>+D$11+D$12*F52+D$13*F52^2</f>
        <v>0.49231632298803774</v>
      </c>
      <c r="Q52" s="59">
        <f>+C52-15018.5</f>
        <v>25054.858999999997</v>
      </c>
      <c r="R52" s="24">
        <f>(P52-G52)^2</f>
        <v>0.29607345537335739</v>
      </c>
      <c r="S52" s="26">
        <v>0.1</v>
      </c>
    </row>
    <row r="53" spans="1:21" ht="12.95" customHeight="1" x14ac:dyDescent="0.2">
      <c r="A53" s="27" t="s">
        <v>30</v>
      </c>
      <c r="B53" s="58"/>
      <c r="C53" s="60">
        <v>40288.381000000001</v>
      </c>
      <c r="D53" s="60"/>
      <c r="E53" s="27">
        <f>+(C53-C$7)/C$8</f>
        <v>-6582.963149244214</v>
      </c>
      <c r="F53" s="27">
        <f>ROUND(2*E53,0)/2</f>
        <v>-6583</v>
      </c>
      <c r="G53" s="27">
        <f>+C53-(C$7+F53*C$8)</f>
        <v>8.2060000000637956E-2</v>
      </c>
      <c r="H53" s="27"/>
      <c r="I53" s="27">
        <f>+G53</f>
        <v>8.2060000000637956E-2</v>
      </c>
      <c r="J53" s="27"/>
      <c r="K53" s="27"/>
      <c r="L53" s="27"/>
      <c r="M53" s="27"/>
      <c r="N53" s="27"/>
      <c r="O53" s="27">
        <f ca="1">+C$11+C$12*F53</f>
        <v>-1.1555594308224608E-2</v>
      </c>
      <c r="P53" s="27">
        <f>+D$11+D$12*F53+D$13*F53^2</f>
        <v>0.48316484940187987</v>
      </c>
      <c r="Q53" s="59">
        <f>+C53-15018.5</f>
        <v>25269.881000000001</v>
      </c>
      <c r="R53" s="24">
        <f>(P53-G53)^2</f>
        <v>0.16088510021319297</v>
      </c>
      <c r="S53" s="26">
        <v>0.1</v>
      </c>
      <c r="U53" s="36"/>
    </row>
    <row r="54" spans="1:21" ht="12.95" customHeight="1" x14ac:dyDescent="0.2">
      <c r="A54" s="27" t="s">
        <v>30</v>
      </c>
      <c r="B54" s="58"/>
      <c r="C54" s="60">
        <v>40437.593000000001</v>
      </c>
      <c r="D54" s="60"/>
      <c r="E54" s="27">
        <f>+(C54-C$7)/C$8</f>
        <v>-6515.9563862368759</v>
      </c>
      <c r="F54" s="27">
        <f>ROUND(2*E54,0)/2</f>
        <v>-6516</v>
      </c>
      <c r="G54" s="27">
        <f>+C54-(C$7+F54*C$8)</f>
        <v>9.7119999998540152E-2</v>
      </c>
      <c r="H54" s="27"/>
      <c r="I54" s="27">
        <f>+G54</f>
        <v>9.7119999998540152E-2</v>
      </c>
      <c r="J54" s="27"/>
      <c r="K54" s="27"/>
      <c r="L54" s="27"/>
      <c r="M54" s="27"/>
      <c r="N54" s="27"/>
      <c r="O54" s="27">
        <f ca="1">+C$11+C$12*F54</f>
        <v>-1.1449776875243336E-2</v>
      </c>
      <c r="P54" s="27">
        <f>+D$11+D$12*F54+D$13*F54^2</f>
        <v>0.47684563039826727</v>
      </c>
      <c r="Q54" s="59">
        <f>+C54-15018.5</f>
        <v>25419.093000000001</v>
      </c>
      <c r="R54" s="24">
        <f>(P54-G54)^2</f>
        <v>0.14419155438247017</v>
      </c>
      <c r="S54" s="26">
        <v>0.1</v>
      </c>
      <c r="U54" s="36"/>
    </row>
    <row r="55" spans="1:21" ht="12.95" customHeight="1" x14ac:dyDescent="0.2">
      <c r="A55" s="27" t="s">
        <v>14</v>
      </c>
      <c r="B55" s="58"/>
      <c r="C55" s="60">
        <v>41515.39</v>
      </c>
      <c r="D55" s="60" t="s">
        <v>16</v>
      </c>
      <c r="E55" s="27">
        <f>+(C55-C$7)/C$8</f>
        <v>-6031.9491472144146</v>
      </c>
      <c r="F55" s="27">
        <f>ROUND(2*E55,0)/2</f>
        <v>-6032</v>
      </c>
      <c r="G55" s="27">
        <f>+C55-(C$7+F55*C$8)</f>
        <v>0.11323999999876833</v>
      </c>
      <c r="I55" s="27">
        <f>+G55</f>
        <v>0.11323999999876833</v>
      </c>
      <c r="J55" s="27"/>
      <c r="K55" s="27"/>
      <c r="L55" s="27"/>
      <c r="M55" s="27"/>
      <c r="N55" s="27"/>
      <c r="O55" s="27">
        <f ca="1">+C$11+C$12*F55</f>
        <v>-1.0685364374304005E-2</v>
      </c>
      <c r="P55" s="27">
        <f>+D$11+D$12*F55+D$13*F55^2</f>
        <v>0.43203998435529883</v>
      </c>
      <c r="Q55" s="59">
        <f>+C55-15018.5</f>
        <v>26496.89</v>
      </c>
      <c r="R55" s="24">
        <f>(P55-G55)^2</f>
        <v>0.1016334300257241</v>
      </c>
      <c r="S55" s="26">
        <v>0.1</v>
      </c>
      <c r="U55" s="36"/>
    </row>
    <row r="56" spans="1:21" ht="12.95" customHeight="1" x14ac:dyDescent="0.2">
      <c r="A56" s="27" t="s">
        <v>31</v>
      </c>
      <c r="B56" s="58"/>
      <c r="C56" s="60">
        <v>41515.446000000004</v>
      </c>
      <c r="D56" s="60"/>
      <c r="E56" s="27">
        <f>+(C56-C$7)/C$8</f>
        <v>-6031.9239992455605</v>
      </c>
      <c r="F56" s="27">
        <f>ROUND(2*E56,0)/2</f>
        <v>-6032</v>
      </c>
      <c r="G56" s="27">
        <f>+C56-(C$7+F56*C$8)</f>
        <v>0.16924000000290107</v>
      </c>
      <c r="H56" s="27"/>
      <c r="I56" s="27">
        <f>+G56</f>
        <v>0.16924000000290107</v>
      </c>
      <c r="J56" s="27"/>
      <c r="K56" s="27"/>
      <c r="L56" s="27"/>
      <c r="M56" s="27"/>
      <c r="N56" s="27"/>
      <c r="O56" s="27">
        <f ca="1">+C$11+C$12*F56</f>
        <v>-1.0685364374304005E-2</v>
      </c>
      <c r="P56" s="27">
        <f>+D$11+D$12*F56+D$13*F56^2</f>
        <v>0.43203998435529883</v>
      </c>
      <c r="Q56" s="59">
        <f>+C56-15018.5</f>
        <v>26496.946000000004</v>
      </c>
      <c r="R56" s="24">
        <f>(P56-G56)^2</f>
        <v>6.9063831775620504E-2</v>
      </c>
      <c r="S56" s="26">
        <v>0.1</v>
      </c>
      <c r="U56" s="36"/>
    </row>
    <row r="57" spans="1:21" ht="12.95" customHeight="1" x14ac:dyDescent="0.2">
      <c r="A57" s="55" t="s">
        <v>182</v>
      </c>
      <c r="B57" s="56" t="s">
        <v>41</v>
      </c>
      <c r="C57" s="55">
        <v>47819.429700000001</v>
      </c>
      <c r="D57" s="55" t="s">
        <v>54</v>
      </c>
      <c r="E57" s="57">
        <f>+(C57-C$7)/C$8</f>
        <v>-3200.9885397113376</v>
      </c>
      <c r="F57" s="27">
        <f>ROUND(2*E57,0)/2</f>
        <v>-3201</v>
      </c>
      <c r="G57" s="27">
        <f>+C57-(C$7+F57*C$8)</f>
        <v>2.5520000002870802E-2</v>
      </c>
      <c r="H57" s="27"/>
      <c r="J57" s="58">
        <f>G57</f>
        <v>2.5520000002870802E-2</v>
      </c>
      <c r="L57" s="27"/>
      <c r="M57" s="27"/>
      <c r="N57" s="27"/>
      <c r="O57" s="27">
        <f ca="1">+C$11+C$12*F57</f>
        <v>-6.2141829896774654E-3</v>
      </c>
      <c r="P57" s="27">
        <f>+D$11+D$12*F57+D$13*F57^2</f>
        <v>0.19965207874156182</v>
      </c>
      <c r="Q57" s="59">
        <f>+C57-15018.5</f>
        <v>32800.929700000001</v>
      </c>
      <c r="R57" s="24">
        <f>(P57-G57)^2</f>
        <v>3.0321980845857688E-2</v>
      </c>
      <c r="S57" s="26">
        <v>1</v>
      </c>
      <c r="T57" s="24">
        <f>+S57*R57</f>
        <v>3.0321980845857688E-2</v>
      </c>
    </row>
    <row r="58" spans="1:21" ht="12.95" customHeight="1" x14ac:dyDescent="0.2">
      <c r="A58" s="55" t="s">
        <v>186</v>
      </c>
      <c r="B58" s="56" t="s">
        <v>41</v>
      </c>
      <c r="C58" s="55">
        <v>48329.375599999999</v>
      </c>
      <c r="D58" s="55" t="s">
        <v>54</v>
      </c>
      <c r="E58" s="57">
        <f>+(C58-C$7)/C$8</f>
        <v>-2971.9866895393443</v>
      </c>
      <c r="F58" s="27">
        <f>ROUND(2*E58,0)/2</f>
        <v>-2972</v>
      </c>
      <c r="G58" s="27">
        <f>+C58-(C$7+F58*C$8)</f>
        <v>2.9640000000654254E-2</v>
      </c>
      <c r="H58" s="27"/>
      <c r="J58" s="58">
        <f>G58</f>
        <v>2.9640000000654254E-2</v>
      </c>
      <c r="L58" s="27"/>
      <c r="M58" s="27"/>
      <c r="N58" s="27"/>
      <c r="O58" s="27">
        <f ca="1">+C$11+C$12*F58</f>
        <v>-5.8525084799355091E-3</v>
      </c>
      <c r="P58" s="27">
        <f>+D$11+D$12*F58+D$13*F58^2</f>
        <v>0.18307093285845702</v>
      </c>
      <c r="Q58" s="59">
        <f>+C58-15018.5</f>
        <v>33310.875599999999</v>
      </c>
      <c r="R58" s="24">
        <f>(P58-G58)^2</f>
        <v>2.3541051157615581E-2</v>
      </c>
      <c r="S58" s="26">
        <v>1</v>
      </c>
      <c r="T58" s="24">
        <f>+S58*R58</f>
        <v>2.3541051157615581E-2</v>
      </c>
    </row>
    <row r="59" spans="1:21" ht="12.95" customHeight="1" x14ac:dyDescent="0.2">
      <c r="A59" s="55" t="s">
        <v>191</v>
      </c>
      <c r="B59" s="56" t="s">
        <v>41</v>
      </c>
      <c r="C59" s="55">
        <v>49086.484100000001</v>
      </c>
      <c r="D59" s="55" t="s">
        <v>54</v>
      </c>
      <c r="E59" s="57">
        <f>+(C59-C$7)/C$8</f>
        <v>-2631.9913149693284</v>
      </c>
      <c r="F59" s="27">
        <f>ROUND(2*E59,0)/2</f>
        <v>-2632</v>
      </c>
      <c r="G59" s="27">
        <f>+C59-(C$7+F59*C$8)</f>
        <v>1.9339999998919666E-2</v>
      </c>
      <c r="H59" s="27"/>
      <c r="J59" s="58">
        <f>G59</f>
        <v>1.9339999998919666E-2</v>
      </c>
      <c r="L59" s="27"/>
      <c r="M59" s="27"/>
      <c r="N59" s="27"/>
      <c r="O59" s="27">
        <f ca="1">+C$11+C$12*F59</f>
        <v>-5.315524491672342E-3</v>
      </c>
      <c r="P59" s="27">
        <f>+D$11+D$12*F59+D$13*F59^2</f>
        <v>0.15906463580026955</v>
      </c>
      <c r="Q59" s="59">
        <f>+C59-15018.5</f>
        <v>34067.984100000001</v>
      </c>
      <c r="R59" s="24">
        <f>(P59-G59)^2</f>
        <v>1.9522973849819866E-2</v>
      </c>
      <c r="S59" s="26">
        <v>1</v>
      </c>
      <c r="T59" s="24">
        <f>+S59*R59</f>
        <v>1.9522973849819866E-2</v>
      </c>
    </row>
    <row r="60" spans="1:21" ht="12.95" customHeight="1" x14ac:dyDescent="0.2">
      <c r="A60" s="55" t="s">
        <v>195</v>
      </c>
      <c r="B60" s="56" t="s">
        <v>41</v>
      </c>
      <c r="C60" s="55">
        <v>49371.5147</v>
      </c>
      <c r="D60" s="55" t="s">
        <v>54</v>
      </c>
      <c r="E60" s="57">
        <f>+(C60-C$7)/C$8</f>
        <v>-2503.9923747765883</v>
      </c>
      <c r="F60" s="27">
        <f>ROUND(2*E60,0)/2</f>
        <v>-2504</v>
      </c>
      <c r="G60" s="27">
        <f>+C60-(C$7+F60*C$8)</f>
        <v>1.698000000033062E-2</v>
      </c>
      <c r="H60" s="27"/>
      <c r="J60" s="58">
        <f>G60</f>
        <v>1.698000000033062E-2</v>
      </c>
      <c r="L60" s="27"/>
      <c r="M60" s="27"/>
      <c r="N60" s="27"/>
      <c r="O60" s="27">
        <f ca="1">+C$11+C$12*F60</f>
        <v>-5.1133658137379745E-3</v>
      </c>
      <c r="P60" s="27">
        <f>+D$11+D$12*F60+D$13*F60^2</f>
        <v>0.15021647343700498</v>
      </c>
      <c r="Q60" s="59">
        <f>+C60-15018.5</f>
        <v>34353.0147</v>
      </c>
      <c r="R60" s="24">
        <f>(P60-G60)^2</f>
        <v>1.7751957853841632E-2</v>
      </c>
      <c r="S60" s="26">
        <v>1</v>
      </c>
      <c r="T60" s="24">
        <f>+S60*R60</f>
        <v>1.7751957853841632E-2</v>
      </c>
    </row>
    <row r="61" spans="1:21" ht="12.95" customHeight="1" x14ac:dyDescent="0.2">
      <c r="A61" s="27" t="s">
        <v>32</v>
      </c>
      <c r="B61" s="58"/>
      <c r="C61" s="60">
        <v>51197.494899999998</v>
      </c>
      <c r="D61" s="60">
        <v>1.4E-3</v>
      </c>
      <c r="E61" s="27">
        <f>+(C61-C$7)/C$8</f>
        <v>-1683.9978534412319</v>
      </c>
      <c r="F61" s="27">
        <f>ROUND(2*E61,0)/2</f>
        <v>-1684</v>
      </c>
      <c r="G61" s="27">
        <f>+C61-(C$7+F61*C$8)</f>
        <v>4.7799999956623651E-3</v>
      </c>
      <c r="H61" s="27"/>
      <c r="I61" s="27"/>
      <c r="J61" s="27">
        <f>+G61</f>
        <v>4.7799999956623651E-3</v>
      </c>
      <c r="L61" s="27"/>
      <c r="M61" s="27"/>
      <c r="N61" s="27"/>
      <c r="O61" s="27">
        <f ca="1">+C$11+C$12*F61</f>
        <v>-3.8182867832209258E-3</v>
      </c>
      <c r="P61" s="27">
        <f>+D$11+D$12*F61+D$13*F61^2</f>
        <v>9.5992061146361968E-2</v>
      </c>
      <c r="Q61" s="59">
        <f>+C61-15018.5</f>
        <v>36178.994899999998</v>
      </c>
      <c r="R61" s="24">
        <f>(P61-G61)^2</f>
        <v>8.3196400993589634E-3</v>
      </c>
      <c r="S61" s="26">
        <v>1</v>
      </c>
      <c r="T61" s="24">
        <f>+S61*R61</f>
        <v>8.3196400993589634E-3</v>
      </c>
      <c r="U61" s="36"/>
    </row>
    <row r="62" spans="1:21" ht="12.95" customHeight="1" x14ac:dyDescent="0.2">
      <c r="A62" s="55" t="s">
        <v>206</v>
      </c>
      <c r="B62" s="56" t="s">
        <v>41</v>
      </c>
      <c r="C62" s="55">
        <v>52001.373299999999</v>
      </c>
      <c r="D62" s="55" t="s">
        <v>54</v>
      </c>
      <c r="E62" s="57">
        <f>+(C62-C$7)/C$8</f>
        <v>-1322.9994790777891</v>
      </c>
      <c r="F62" s="27">
        <f>ROUND(2*E62,0)/2</f>
        <v>-1323</v>
      </c>
      <c r="G62" s="27">
        <f>+C62-(C$7+F62*C$8)</f>
        <v>1.1599999997997656E-3</v>
      </c>
      <c r="H62" s="27"/>
      <c r="K62" s="58">
        <f>G62</f>
        <v>1.1599999997997656E-3</v>
      </c>
      <c r="L62" s="27"/>
      <c r="M62" s="27"/>
      <c r="N62" s="27"/>
      <c r="O62" s="27">
        <f ca="1">+C$11+C$12*F62</f>
        <v>-3.248136136859152E-3</v>
      </c>
      <c r="P62" s="27">
        <f>+D$11+D$12*F62+D$13*F62^2</f>
        <v>7.346879632295604E-2</v>
      </c>
      <c r="Q62" s="59">
        <f>+C62-15018.5</f>
        <v>36982.873299999999</v>
      </c>
      <c r="R62" s="24">
        <f>(P62-G62)^2</f>
        <v>5.2285620257036987E-3</v>
      </c>
      <c r="S62" s="26">
        <v>0.2</v>
      </c>
      <c r="T62" s="24">
        <f>+S62*R62</f>
        <v>1.0457124051407398E-3</v>
      </c>
    </row>
    <row r="63" spans="1:21" ht="12.95" customHeight="1" x14ac:dyDescent="0.2">
      <c r="A63" s="27" t="s">
        <v>36</v>
      </c>
      <c r="B63" s="76"/>
      <c r="C63" s="60">
        <v>53867.446000000004</v>
      </c>
      <c r="D63" s="60">
        <v>5.9999999999999995E-4</v>
      </c>
      <c r="E63" s="27">
        <f>+(C63-C$7)/C$8</f>
        <v>-485.00058379213328</v>
      </c>
      <c r="F63" s="27">
        <f>ROUND(2*E63,0)/2</f>
        <v>-485</v>
      </c>
      <c r="G63" s="27">
        <f>+C63-(C$7+F63*C$8)</f>
        <v>-1.2999999962630682E-3</v>
      </c>
      <c r="H63" s="27"/>
      <c r="I63" s="27"/>
      <c r="J63" s="27">
        <f>+G63</f>
        <v>-1.2999999962630682E-3</v>
      </c>
      <c r="L63" s="27"/>
      <c r="M63" s="27"/>
      <c r="N63" s="27"/>
      <c r="O63" s="27">
        <f ca="1">+C$11+C$12*F63</f>
        <v>-1.9246285422575833E-3</v>
      </c>
      <c r="P63" s="27">
        <f>+D$11+D$12*F63+D$13*F63^2</f>
        <v>2.4363373401297014E-2</v>
      </c>
      <c r="Q63" s="59">
        <f>+C63-15018.5</f>
        <v>38848.946000000004</v>
      </c>
      <c r="R63" s="24">
        <f>(P63-G63)^2</f>
        <v>6.5860873414259446E-4</v>
      </c>
      <c r="S63" s="26">
        <v>1</v>
      </c>
      <c r="T63" s="24">
        <f>+S63*R63</f>
        <v>6.5860873414259446E-4</v>
      </c>
      <c r="U63" s="36"/>
    </row>
    <row r="64" spans="1:21" ht="12.95" customHeight="1" x14ac:dyDescent="0.2">
      <c r="A64" s="57" t="s">
        <v>42</v>
      </c>
      <c r="B64" s="7" t="s">
        <v>41</v>
      </c>
      <c r="C64" s="6">
        <v>54504.314299999998</v>
      </c>
      <c r="D64" s="6"/>
      <c r="E64" s="27">
        <f>+(C64-C$7)/C$8</f>
        <v>-199.00158072947232</v>
      </c>
      <c r="F64" s="27">
        <f>ROUND(2*E64,0)/2</f>
        <v>-199</v>
      </c>
      <c r="G64" s="27">
        <f>+C64-(C$7+F64*C$8)</f>
        <v>-3.5200000056647696E-3</v>
      </c>
      <c r="H64" s="27"/>
      <c r="I64" s="27"/>
      <c r="J64" s="27">
        <f>+G64</f>
        <v>-3.5200000056647696E-3</v>
      </c>
      <c r="L64" s="27"/>
      <c r="M64" s="27"/>
      <c r="N64" s="27"/>
      <c r="O64" s="27">
        <f ca="1">+C$11+C$12*F64</f>
        <v>-1.4729302462479787E-3</v>
      </c>
      <c r="P64" s="27">
        <f>+D$11+D$12*F64+D$13*F64^2</f>
        <v>8.6211738587318905E-3</v>
      </c>
      <c r="Q64" s="59">
        <f>+C64-15018.5</f>
        <v>39485.814299999998</v>
      </c>
      <c r="R64" s="24">
        <f>(P64-G64)^2</f>
        <v>1.4740810280550854E-4</v>
      </c>
      <c r="S64" s="26">
        <v>1</v>
      </c>
      <c r="T64" s="24">
        <f>+S64*R64</f>
        <v>1.4740810280550854E-4</v>
      </c>
      <c r="U64" s="36"/>
    </row>
    <row r="65" spans="1:21" ht="12.95" customHeight="1" x14ac:dyDescent="0.2">
      <c r="A65" s="89" t="s">
        <v>294</v>
      </c>
      <c r="C65" s="75">
        <v>54947.455000000002</v>
      </c>
      <c r="D65" s="75"/>
      <c r="E65" s="57">
        <f>+(C65-C$7)/C$8</f>
        <v>0</v>
      </c>
      <c r="F65" s="27">
        <f>ROUND(2*E65,0)/2</f>
        <v>0</v>
      </c>
      <c r="G65" s="27">
        <f>+C65-(C$7+F65*C$8)</f>
        <v>0</v>
      </c>
      <c r="K65" s="24">
        <f>G65</f>
        <v>0</v>
      </c>
      <c r="O65" s="27">
        <f ca="1">+C$11+C$12*F65</f>
        <v>-1.1586366766468902E-3</v>
      </c>
      <c r="P65" s="27">
        <f>+D$11+D$12*F65+D$13*F65^2</f>
        <v>-2.0269957029839048E-3</v>
      </c>
      <c r="Q65" s="59">
        <f>+C65-15018.5</f>
        <v>39928.955000000002</v>
      </c>
      <c r="R65" s="24">
        <f>(P65-G65)^2</f>
        <v>4.1087115799152139E-6</v>
      </c>
      <c r="S65" s="26">
        <v>0.5</v>
      </c>
      <c r="T65" s="24">
        <f>+S65*R65</f>
        <v>2.054355789957607E-6</v>
      </c>
    </row>
    <row r="66" spans="1:21" ht="12.95" customHeight="1" x14ac:dyDescent="0.2">
      <c r="A66" s="6" t="s">
        <v>46</v>
      </c>
      <c r="B66" s="7" t="s">
        <v>41</v>
      </c>
      <c r="C66" s="6">
        <v>54947.455300000001</v>
      </c>
      <c r="D66" s="6">
        <v>6.9999999999999999E-4</v>
      </c>
      <c r="E66" s="27">
        <f>+(C66-C$7)/C$8</f>
        <v>1.3472126157359828E-4</v>
      </c>
      <c r="F66" s="27">
        <f>ROUND(2*E66,0)/2</f>
        <v>0</v>
      </c>
      <c r="G66" s="27">
        <f>+C66-(C$7+F66*C$8)</f>
        <v>2.9999999969732016E-4</v>
      </c>
      <c r="H66" s="27"/>
      <c r="I66" s="27"/>
      <c r="J66" s="27">
        <f>+G66</f>
        <v>2.9999999969732016E-4</v>
      </c>
      <c r="L66" s="27"/>
      <c r="M66" s="27"/>
      <c r="N66" s="27"/>
      <c r="O66" s="27">
        <f ca="1">+C$11+C$12*F66</f>
        <v>-1.1586366766468902E-3</v>
      </c>
      <c r="P66" s="27">
        <f>+D$11+D$12*F66+D$13*F66^2</f>
        <v>-2.0269957029839048E-3</v>
      </c>
      <c r="Q66" s="59">
        <f>+C66-15018.5</f>
        <v>39928.955300000001</v>
      </c>
      <c r="R66" s="24">
        <f>(P66-G66)^2</f>
        <v>5.4149090002968877E-6</v>
      </c>
      <c r="S66" s="26">
        <v>1</v>
      </c>
      <c r="T66" s="24">
        <f>+S66*R66</f>
        <v>5.4149090002968877E-6</v>
      </c>
      <c r="U66" s="36"/>
    </row>
    <row r="67" spans="1:21" ht="12.95" customHeight="1" x14ac:dyDescent="0.2">
      <c r="A67" s="55" t="s">
        <v>228</v>
      </c>
      <c r="B67" s="56" t="s">
        <v>41</v>
      </c>
      <c r="C67" s="55">
        <v>55207.991600000001</v>
      </c>
      <c r="D67" s="55" t="s">
        <v>54</v>
      </c>
      <c r="E67" s="57">
        <f>+(C67-C$7)/C$8</f>
        <v>116.99939824503079</v>
      </c>
      <c r="F67" s="27">
        <f>ROUND(2*E67,0)/2</f>
        <v>117</v>
      </c>
      <c r="G67" s="27">
        <f>+C67-(C$7+F67*C$8)</f>
        <v>-1.3400000025285408E-3</v>
      </c>
      <c r="H67" s="27"/>
      <c r="I67" s="58">
        <f>G67</f>
        <v>-1.3400000025285408E-3</v>
      </c>
      <c r="L67" s="27"/>
      <c r="M67" s="27"/>
      <c r="N67" s="27"/>
      <c r="O67" s="27">
        <f ca="1">+C$11+C$12*F67</f>
        <v>-9.7385101009750657E-4</v>
      </c>
      <c r="P67" s="27">
        <f>+D$11+D$12*F67+D$13*F67^2</f>
        <v>-8.1705187849471558E-3</v>
      </c>
      <c r="Q67" s="59">
        <f>+C67-15018.5</f>
        <v>40189.491600000001</v>
      </c>
      <c r="R67" s="24">
        <f>(P67-G67)^2</f>
        <v>4.6655986836973479E-5</v>
      </c>
      <c r="S67" s="26">
        <v>0.1</v>
      </c>
      <c r="T67" s="24">
        <f>+S67*R67</f>
        <v>4.6655986836973481E-6</v>
      </c>
    </row>
    <row r="68" spans="1:21" ht="12.95" customHeight="1" x14ac:dyDescent="0.2">
      <c r="A68" s="61" t="s">
        <v>43</v>
      </c>
      <c r="B68" s="62" t="s">
        <v>41</v>
      </c>
      <c r="C68" s="63">
        <v>55263.660799999998</v>
      </c>
      <c r="D68" s="63">
        <v>1E-4</v>
      </c>
      <c r="E68" s="57">
        <f>+(C68-C$7)/C$8</f>
        <v>141.9988144528952</v>
      </c>
      <c r="F68" s="27">
        <f>ROUND(2*E68,0)/2</f>
        <v>142</v>
      </c>
      <c r="G68" s="27">
        <f>+C68-(C$7+F68*C$8)</f>
        <v>-2.6400000060675666E-3</v>
      </c>
      <c r="H68" s="27"/>
      <c r="I68" s="27"/>
      <c r="K68" s="27">
        <f>+G68</f>
        <v>-2.6400000060675666E-3</v>
      </c>
      <c r="L68" s="27"/>
      <c r="M68" s="27"/>
      <c r="N68" s="27"/>
      <c r="O68" s="27">
        <f ca="1">+C$11+C$12*F68</f>
        <v>-9.3436689331345018E-4</v>
      </c>
      <c r="P68" s="27">
        <f>+D$11+D$12*F68+D$13*F68^2</f>
        <v>-9.4720071978747055E-3</v>
      </c>
      <c r="Q68" s="59">
        <f>+C68-15018.5</f>
        <v>40245.160799999998</v>
      </c>
      <c r="R68" s="24">
        <f>(P68-G68)^2</f>
        <v>4.6676322268904466E-5</v>
      </c>
      <c r="S68" s="26">
        <v>1</v>
      </c>
      <c r="T68" s="24">
        <f>+S68*R68</f>
        <v>4.6676322268904466E-5</v>
      </c>
      <c r="U68" s="36"/>
    </row>
    <row r="69" spans="1:21" ht="12.95" customHeight="1" x14ac:dyDescent="0.2">
      <c r="A69" s="6" t="s">
        <v>43</v>
      </c>
      <c r="B69" s="7" t="s">
        <v>41</v>
      </c>
      <c r="C69" s="6">
        <v>55263.660799999998</v>
      </c>
      <c r="D69" s="6">
        <v>1E-4</v>
      </c>
      <c r="E69" s="57">
        <f>+(C69-C$7)/C$8</f>
        <v>141.9988144528952</v>
      </c>
      <c r="F69" s="27">
        <f>ROUND(2*E69,0)/2</f>
        <v>142</v>
      </c>
      <c r="G69" s="27">
        <f>+C69-(C$7+F69*C$8)</f>
        <v>-2.6400000060675666E-3</v>
      </c>
      <c r="H69" s="27"/>
      <c r="I69" s="27"/>
      <c r="K69" s="27">
        <f>+G69</f>
        <v>-2.6400000060675666E-3</v>
      </c>
      <c r="L69" s="27"/>
      <c r="M69" s="27"/>
      <c r="N69" s="27"/>
      <c r="O69" s="27">
        <f ca="1">+C$11+C$12*F69</f>
        <v>-9.3436689331345018E-4</v>
      </c>
      <c r="P69" s="27">
        <f>+D$11+D$12*F69+D$13*F69^2</f>
        <v>-9.4720071978747055E-3</v>
      </c>
      <c r="Q69" s="59">
        <f>+C69-15018.5</f>
        <v>40245.160799999998</v>
      </c>
      <c r="R69" s="24">
        <f>(P69-G69)^2</f>
        <v>4.6676322268904466E-5</v>
      </c>
      <c r="S69" s="26">
        <v>1</v>
      </c>
      <c r="T69" s="24">
        <f>+S69*R69</f>
        <v>4.6676322268904466E-5</v>
      </c>
      <c r="U69" s="36"/>
    </row>
    <row r="70" spans="1:21" ht="12.95" customHeight="1" x14ac:dyDescent="0.2">
      <c r="A70" s="6" t="s">
        <v>47</v>
      </c>
      <c r="B70" s="7" t="s">
        <v>41</v>
      </c>
      <c r="C70" s="6">
        <v>55624.406300000002</v>
      </c>
      <c r="D70" s="6">
        <v>4.7000000000000002E-3</v>
      </c>
      <c r="E70" s="57">
        <f>+(C70-C$7)/C$8</f>
        <v>303.99911083967299</v>
      </c>
      <c r="F70" s="27">
        <f>ROUND(2*E70,0)/2</f>
        <v>304</v>
      </c>
      <c r="G70" s="27">
        <f>+C70-(C$7+F70*C$8)</f>
        <v>-1.9800000009126961E-3</v>
      </c>
      <c r="H70" s="27"/>
      <c r="I70" s="27"/>
      <c r="J70" s="27">
        <f>+G70</f>
        <v>-1.9800000009126961E-3</v>
      </c>
      <c r="L70" s="27"/>
      <c r="M70" s="27"/>
      <c r="N70" s="27"/>
      <c r="O70" s="27">
        <f ca="1">+C$11+C$12*F70</f>
        <v>-6.7850981655276496E-4</v>
      </c>
      <c r="P70" s="27">
        <f>+D$11+D$12*F70+D$13*F70^2</f>
        <v>-1.7809819013076329E-2</v>
      </c>
      <c r="Q70" s="59">
        <f>+C70-15018.5</f>
        <v>40605.906300000002</v>
      </c>
      <c r="R70" s="24">
        <f>(P70-G70)^2</f>
        <v>2.5058316995785722E-4</v>
      </c>
      <c r="S70" s="26">
        <v>1</v>
      </c>
      <c r="T70" s="24">
        <f>+S70*R70</f>
        <v>2.5058316995785722E-4</v>
      </c>
      <c r="U70" s="36"/>
    </row>
    <row r="71" spans="1:21" ht="12.95" customHeight="1" x14ac:dyDescent="0.2">
      <c r="A71" s="6" t="s">
        <v>47</v>
      </c>
      <c r="B71" s="7" t="s">
        <v>48</v>
      </c>
      <c r="C71" s="6">
        <v>55654.470500000003</v>
      </c>
      <c r="D71" s="6">
        <v>2.6200000000000001E-2</v>
      </c>
      <c r="E71" s="57">
        <f>+(C71-C$7)/C$8</f>
        <v>317.50006736063148</v>
      </c>
      <c r="F71" s="27">
        <f>ROUND(2*E71,0)/2</f>
        <v>317.5</v>
      </c>
      <c r="G71" s="27">
        <f>+C71-(C$7+F71*C$8)</f>
        <v>1.4999999984866008E-4</v>
      </c>
      <c r="H71" s="27"/>
      <c r="I71" s="58"/>
      <c r="J71" s="27">
        <f>+G71</f>
        <v>1.4999999984866008E-4</v>
      </c>
      <c r="L71" s="27"/>
      <c r="M71" s="27"/>
      <c r="N71" s="27"/>
      <c r="O71" s="27">
        <f ca="1">+C$11+C$12*F71</f>
        <v>-6.5718839348937461E-4</v>
      </c>
      <c r="P71" s="27">
        <f>+D$11+D$12*F71+D$13*F71^2</f>
        <v>-1.8497141695916285E-2</v>
      </c>
      <c r="Q71" s="59">
        <f>+C71-15018.5</f>
        <v>40635.970500000003</v>
      </c>
      <c r="R71" s="24">
        <f>(P71-G71)^2</f>
        <v>3.4771589342193551E-4</v>
      </c>
      <c r="S71" s="26">
        <v>1</v>
      </c>
      <c r="T71" s="24">
        <f>+S71*R71</f>
        <v>3.4771589342193551E-4</v>
      </c>
      <c r="U71" s="36"/>
    </row>
    <row r="72" spans="1:21" ht="12.95" customHeight="1" x14ac:dyDescent="0.2">
      <c r="A72" s="57" t="s">
        <v>50</v>
      </c>
      <c r="B72" s="62" t="s">
        <v>48</v>
      </c>
      <c r="C72" s="63">
        <v>55908.327100000002</v>
      </c>
      <c r="D72" s="63">
        <v>2.7000000000000001E-3</v>
      </c>
      <c r="E72" s="57">
        <f>+(C72-C$7)/C$8</f>
        <v>431.49967217826338</v>
      </c>
      <c r="F72" s="27">
        <f>ROUND(2*E72,0)/2</f>
        <v>431.5</v>
      </c>
      <c r="G72" s="27">
        <f>+C72-(C$7+F72*C$8)</f>
        <v>-7.299999997485429E-4</v>
      </c>
      <c r="H72" s="27"/>
      <c r="I72" s="27"/>
      <c r="K72" s="27">
        <f>+G72</f>
        <v>-7.299999997485429E-4</v>
      </c>
      <c r="L72" s="27"/>
      <c r="M72" s="27"/>
      <c r="N72" s="27"/>
      <c r="O72" s="27">
        <f ca="1">+C$11+C$12*F72</f>
        <v>-4.7714082095407764E-4</v>
      </c>
      <c r="P72" s="27">
        <f>+D$11+D$12*F72+D$13*F72^2</f>
        <v>-2.4255219378514079E-2</v>
      </c>
      <c r="Q72" s="59">
        <f>+C72-15018.5</f>
        <v>40889.827100000002</v>
      </c>
      <c r="R72" s="24">
        <f>(P72-G72)^2</f>
        <v>5.5343594681904549E-4</v>
      </c>
      <c r="S72" s="26">
        <v>1</v>
      </c>
      <c r="T72" s="24">
        <f>+S72*R72</f>
        <v>5.5343594681904549E-4</v>
      </c>
      <c r="U72" s="36"/>
    </row>
    <row r="73" spans="1:21" ht="12.95" customHeight="1" x14ac:dyDescent="0.2">
      <c r="A73" s="55" t="s">
        <v>255</v>
      </c>
      <c r="B73" s="56" t="s">
        <v>41</v>
      </c>
      <c r="C73" s="55">
        <v>55936.1613</v>
      </c>
      <c r="D73" s="55" t="s">
        <v>54</v>
      </c>
      <c r="E73" s="57">
        <f>+(C73-C$7)/C$8</f>
        <v>443.99920065384629</v>
      </c>
      <c r="F73" s="27">
        <f>ROUND(2*E73,0)/2</f>
        <v>444</v>
      </c>
      <c r="G73" s="27">
        <f>+C73-(C$7+F73*C$8)</f>
        <v>-1.7799999986891635E-3</v>
      </c>
      <c r="H73" s="27"/>
      <c r="I73" s="58">
        <f>G73</f>
        <v>-1.7799999986891635E-3</v>
      </c>
      <c r="L73" s="27"/>
      <c r="M73" s="27"/>
      <c r="N73" s="27"/>
      <c r="O73" s="27">
        <f ca="1">+C$11+C$12*F73</f>
        <v>-4.5739876256204945E-4</v>
      </c>
      <c r="P73" s="27">
        <f>+D$11+D$12*F73+D$13*F73^2</f>
        <v>-2.4881585363836407E-2</v>
      </c>
      <c r="Q73" s="59">
        <f>+C73-15018.5</f>
        <v>40917.6613</v>
      </c>
      <c r="R73" s="24">
        <f>(P73-G73)^2</f>
        <v>5.336832463831853E-4</v>
      </c>
      <c r="S73" s="26">
        <v>0.1</v>
      </c>
      <c r="T73" s="24">
        <f>+S73*R73</f>
        <v>5.3368324638318534E-5</v>
      </c>
    </row>
    <row r="74" spans="1:21" ht="12.95" customHeight="1" x14ac:dyDescent="0.2">
      <c r="A74" s="6" t="s">
        <v>49</v>
      </c>
      <c r="B74" s="7" t="s">
        <v>41</v>
      </c>
      <c r="C74" s="6">
        <v>56009.645700000001</v>
      </c>
      <c r="D74" s="6">
        <v>1.8E-3</v>
      </c>
      <c r="E74" s="57">
        <f>+(C74-C$7)/C$8</f>
        <v>476.99890426707105</v>
      </c>
      <c r="F74" s="27">
        <f>ROUND(2*E74,0)/2</f>
        <v>477</v>
      </c>
      <c r="G74" s="27">
        <f>+C74-(C$7+F74*C$8)</f>
        <v>-2.4400000038440339E-3</v>
      </c>
      <c r="H74" s="27"/>
      <c r="I74" s="27"/>
      <c r="K74" s="27">
        <f>+G74</f>
        <v>-2.4400000038440339E-3</v>
      </c>
      <c r="L74" s="27"/>
      <c r="M74" s="27"/>
      <c r="N74" s="27"/>
      <c r="O74" s="27">
        <f ca="1">+C$11+C$12*F74</f>
        <v>-4.0527972840709509E-4</v>
      </c>
      <c r="P74" s="27">
        <f>+D$11+D$12*F74+D$13*F74^2</f>
        <v>-2.6530441667401202E-2</v>
      </c>
      <c r="Q74" s="59">
        <f>+C74-15018.5</f>
        <v>40991.145700000001</v>
      </c>
      <c r="R74" s="24">
        <f>(P74-G74)^2</f>
        <v>5.803493795452511E-4</v>
      </c>
      <c r="S74" s="26">
        <v>1</v>
      </c>
      <c r="T74" s="24">
        <f>+S74*R74</f>
        <v>5.803493795452511E-4</v>
      </c>
      <c r="U74" s="36"/>
    </row>
    <row r="75" spans="1:21" ht="12.95" customHeight="1" x14ac:dyDescent="0.2">
      <c r="A75" s="64" t="s">
        <v>51</v>
      </c>
      <c r="B75" s="65" t="s">
        <v>41</v>
      </c>
      <c r="C75" s="66">
        <v>56281.318500000001</v>
      </c>
      <c r="D75" s="67">
        <v>1.5E-3</v>
      </c>
      <c r="E75" s="57">
        <f>+(C75-C$7)/C$8</f>
        <v>598.99924556093424</v>
      </c>
      <c r="F75" s="27">
        <f>ROUND(2*E75,0)/2</f>
        <v>599</v>
      </c>
      <c r="G75" s="27">
        <f>+C75-(C$7+F75*C$8)</f>
        <v>-1.680000001215376E-3</v>
      </c>
      <c r="H75" s="27"/>
      <c r="I75" s="27"/>
      <c r="J75" s="27">
        <f>+G75</f>
        <v>-1.680000001215376E-3</v>
      </c>
      <c r="L75" s="27"/>
      <c r="M75" s="27"/>
      <c r="N75" s="27"/>
      <c r="O75" s="27">
        <f ca="1">+C$11+C$12*F75</f>
        <v>-2.1259723850090015E-4</v>
      </c>
      <c r="P75" s="27">
        <f>+D$11+D$12*F75+D$13*F75^2</f>
        <v>-3.2566392900063933E-2</v>
      </c>
      <c r="Q75" s="59">
        <f>+C75-15018.5</f>
        <v>41262.818500000001</v>
      </c>
      <c r="R75" s="24">
        <f>(P75-G75)^2</f>
        <v>9.5396926630204252E-4</v>
      </c>
      <c r="S75" s="26">
        <v>1</v>
      </c>
      <c r="T75" s="24">
        <f>+S75*R75</f>
        <v>9.5396926630204252E-4</v>
      </c>
      <c r="U75" s="36"/>
    </row>
    <row r="76" spans="1:21" ht="12.95" customHeight="1" x14ac:dyDescent="0.2">
      <c r="A76" s="55" t="s">
        <v>272</v>
      </c>
      <c r="B76" s="56" t="s">
        <v>41</v>
      </c>
      <c r="C76" s="55">
        <v>56662.105499999998</v>
      </c>
      <c r="D76" s="55" t="s">
        <v>54</v>
      </c>
      <c r="E76" s="57">
        <f>+(C76-C$7)/C$8</f>
        <v>769.99959583621308</v>
      </c>
      <c r="F76" s="27">
        <f>ROUND(2*E76,0)/2</f>
        <v>770</v>
      </c>
      <c r="G76" s="27">
        <f>+C76-(C$7+F76*C$8)</f>
        <v>-9.000000063679181E-4</v>
      </c>
      <c r="H76" s="27"/>
      <c r="I76" s="58">
        <f>G76</f>
        <v>-9.000000063679181E-4</v>
      </c>
      <c r="L76" s="27"/>
      <c r="M76" s="27"/>
      <c r="N76" s="27"/>
      <c r="O76" s="27">
        <f ca="1">+C$11+C$12*F76</f>
        <v>5.7474120302045302E-5</v>
      </c>
      <c r="P76" s="27">
        <f>+D$11+D$12*F76+D$13*F76^2</f>
        <v>-4.0868122042884709E-2</v>
      </c>
      <c r="Q76" s="59">
        <f>+C76-15018.5</f>
        <v>41643.605499999998</v>
      </c>
      <c r="R76" s="24">
        <f>(P76-G76)^2</f>
        <v>1.597450779125899E-3</v>
      </c>
      <c r="S76" s="26">
        <v>0.1</v>
      </c>
      <c r="T76" s="24">
        <f>+S76*R76</f>
        <v>1.5974507791258991E-4</v>
      </c>
    </row>
    <row r="77" spans="1:21" ht="12.95" customHeight="1" x14ac:dyDescent="0.2">
      <c r="A77" s="68" t="s">
        <v>1</v>
      </c>
      <c r="B77" s="69" t="s">
        <v>41</v>
      </c>
      <c r="C77" s="68">
        <v>56662.105500000063</v>
      </c>
      <c r="D77" s="68" t="s">
        <v>65</v>
      </c>
      <c r="E77" s="57">
        <f>+(C77-C$7)/C$8</f>
        <v>769.99959583624252</v>
      </c>
      <c r="F77" s="27">
        <f>ROUND(2*E77,0)/2</f>
        <v>770</v>
      </c>
      <c r="G77" s="27">
        <f>+C77-(C$7+F77*C$8)</f>
        <v>-8.9999994088429958E-4</v>
      </c>
      <c r="H77" s="27"/>
      <c r="I77" s="27"/>
      <c r="K77" s="27">
        <f>+G77</f>
        <v>-8.9999994088429958E-4</v>
      </c>
      <c r="L77" s="27"/>
      <c r="M77" s="27"/>
      <c r="N77" s="27"/>
      <c r="O77" s="27">
        <f ca="1">+C$11+C$12*F77</f>
        <v>5.7474120302045302E-5</v>
      </c>
      <c r="P77" s="27">
        <f>+D$11+D$12*F77+D$13*F77^2</f>
        <v>-4.0868122042884709E-2</v>
      </c>
      <c r="Q77" s="59">
        <f>+C77-15018.5</f>
        <v>41643.605500000063</v>
      </c>
      <c r="R77" s="24">
        <f>(P77-G77)^2</f>
        <v>1.5974507843604137E-3</v>
      </c>
      <c r="S77" s="26">
        <v>1</v>
      </c>
      <c r="T77" s="24">
        <f>+S77*R77</f>
        <v>1.5974507843604137E-3</v>
      </c>
    </row>
    <row r="78" spans="1:21" ht="12.95" customHeight="1" x14ac:dyDescent="0.2">
      <c r="A78" s="67" t="s">
        <v>52</v>
      </c>
      <c r="B78" s="65" t="s">
        <v>41</v>
      </c>
      <c r="C78" s="67">
        <v>56725.576000000001</v>
      </c>
      <c r="D78" s="67">
        <v>2.3199999999999998E-2</v>
      </c>
      <c r="E78" s="57">
        <f>+(C78-C$7)/C$8</f>
        <v>798.50234864066215</v>
      </c>
      <c r="F78" s="27">
        <f>ROUND(2*E78,0)/2</f>
        <v>798.5</v>
      </c>
      <c r="G78" s="27">
        <f>+C78-(C$7+F78*C$8)</f>
        <v>5.230000002484303E-3</v>
      </c>
      <c r="H78" s="27"/>
      <c r="I78" s="27"/>
      <c r="K78" s="27">
        <f>+G78</f>
        <v>5.230000002484303E-3</v>
      </c>
      <c r="L78" s="27"/>
      <c r="M78" s="27"/>
      <c r="N78" s="27"/>
      <c r="O78" s="27">
        <f ca="1">+C$11+C$12*F78</f>
        <v>1.0248601343586954E-4</v>
      </c>
      <c r="P78" s="27">
        <f>+D$11+D$12*F78+D$13*F78^2</f>
        <v>-4.22337570660095E-2</v>
      </c>
      <c r="Q78" s="59">
        <f>+C78-15018.5</f>
        <v>41707.076000000001</v>
      </c>
      <c r="R78" s="24">
        <f>(P78-G78)^2</f>
        <v>2.2528082350569954E-3</v>
      </c>
      <c r="S78" s="58">
        <v>0.1</v>
      </c>
      <c r="T78" s="24">
        <f>+S78*R78</f>
        <v>2.2528082350569954E-4</v>
      </c>
      <c r="U78" s="36"/>
    </row>
    <row r="79" spans="1:21" ht="12.95" customHeight="1" x14ac:dyDescent="0.2">
      <c r="A79" s="67" t="s">
        <v>52</v>
      </c>
      <c r="B79" s="65" t="s">
        <v>41</v>
      </c>
      <c r="C79" s="67">
        <v>56734.485000000001</v>
      </c>
      <c r="D79" s="67">
        <v>1.2999999999999999E-3</v>
      </c>
      <c r="E79" s="57">
        <f>+(C79-C$7)/C$8</f>
        <v>802.50312104256238</v>
      </c>
      <c r="F79" s="27">
        <f>ROUND(2*E79,0)/2</f>
        <v>802.5</v>
      </c>
      <c r="G79" s="27">
        <f>+C79-(C$7+F79*C$8)</f>
        <v>6.9499999954132363E-3</v>
      </c>
      <c r="H79" s="27"/>
      <c r="I79" s="27"/>
      <c r="K79" s="27">
        <f>+G79</f>
        <v>6.9499999954132363E-3</v>
      </c>
      <c r="L79" s="27"/>
      <c r="M79" s="27"/>
      <c r="N79" s="27"/>
      <c r="O79" s="27">
        <f ca="1">+C$11+C$12*F79</f>
        <v>1.0880347212131858E-4</v>
      </c>
      <c r="P79" s="27">
        <f>+D$11+D$12*F79+D$13*F79^2</f>
        <v>-4.2425013892877603E-2</v>
      </c>
      <c r="Q79" s="59">
        <f>+C79-15018.5</f>
        <v>41715.985000000001</v>
      </c>
      <c r="R79" s="24">
        <f>(P79-G79)^2</f>
        <v>2.4378919964689132E-3</v>
      </c>
      <c r="S79" s="58">
        <v>0.5</v>
      </c>
      <c r="T79" s="24">
        <f>+S79*R79</f>
        <v>1.2189459982344566E-3</v>
      </c>
      <c r="U79" s="36"/>
    </row>
    <row r="80" spans="1:21" ht="12.95" customHeight="1" x14ac:dyDescent="0.2">
      <c r="A80" s="68" t="s">
        <v>0</v>
      </c>
      <c r="B80" s="69" t="s">
        <v>41</v>
      </c>
      <c r="C80" s="68">
        <v>57408.091</v>
      </c>
      <c r="D80" s="68" t="s">
        <v>65</v>
      </c>
      <c r="E80" s="57">
        <f>+(C80-C$7)/C$8</f>
        <v>1104.9999550929122</v>
      </c>
      <c r="F80" s="27">
        <f>ROUND(2*E80,0)/2</f>
        <v>1105</v>
      </c>
      <c r="G80" s="27">
        <f>+C80-(C$7+F80*C$8)</f>
        <v>-1.0000000474974513E-4</v>
      </c>
      <c r="H80" s="27"/>
      <c r="I80" s="27"/>
      <c r="K80" s="27">
        <f>+G80</f>
        <v>-1.0000000474974513E-4</v>
      </c>
      <c r="L80" s="27"/>
      <c r="M80" s="27"/>
      <c r="N80" s="27"/>
      <c r="O80" s="27">
        <f ca="1">+C$11+C$12*F80</f>
        <v>5.8656128520840028E-4</v>
      </c>
      <c r="P80" s="27">
        <f>+D$11+D$12*F80+D$13*F80^2</f>
        <v>-5.6595509592381917E-2</v>
      </c>
      <c r="Q80" s="59">
        <f>+C80-15018.5</f>
        <v>42389.591</v>
      </c>
      <c r="R80" s="24">
        <f>(P80-G80)^2</f>
        <v>3.1917426035662387E-3</v>
      </c>
      <c r="S80" s="26">
        <v>1</v>
      </c>
      <c r="T80" s="24">
        <f>+S80*R80</f>
        <v>3.1917426035662387E-3</v>
      </c>
    </row>
    <row r="81" spans="1:20" ht="12.95" customHeight="1" x14ac:dyDescent="0.2">
      <c r="A81" s="70" t="s">
        <v>2</v>
      </c>
      <c r="B81" s="71" t="s">
        <v>41</v>
      </c>
      <c r="C81" s="72">
        <v>57853.453999999998</v>
      </c>
      <c r="D81" s="72">
        <v>1.4E-3</v>
      </c>
      <c r="E81" s="57">
        <f>+(C81-C$7)/C$8</f>
        <v>1304.9995060220388</v>
      </c>
      <c r="F81" s="27">
        <f>ROUND(2*E81,0)/2</f>
        <v>1305</v>
      </c>
      <c r="G81" s="27">
        <f>+C81-(C$7+F81*C$8)</f>
        <v>-1.1000000013154931E-3</v>
      </c>
      <c r="H81" s="27"/>
      <c r="I81" s="27"/>
      <c r="K81" s="27">
        <f>+G81</f>
        <v>-1.1000000013154931E-3</v>
      </c>
      <c r="L81" s="27"/>
      <c r="M81" s="27"/>
      <c r="N81" s="27"/>
      <c r="O81" s="27">
        <f ca="1">+C$11+C$12*F81</f>
        <v>9.0243421948085116E-4</v>
      </c>
      <c r="P81" s="27">
        <f>+D$11+D$12*F81+D$13*F81^2</f>
        <v>-6.5646507149161482E-2</v>
      </c>
      <c r="Q81" s="59">
        <f>+C81-15018.5</f>
        <v>42834.953999999998</v>
      </c>
      <c r="R81" s="24">
        <f>(P81-G81)^2</f>
        <v>4.1662515849869332E-3</v>
      </c>
      <c r="S81" s="26">
        <v>0.5</v>
      </c>
      <c r="T81" s="24">
        <f>+S81*R81</f>
        <v>2.0831257924934666E-3</v>
      </c>
    </row>
    <row r="82" spans="1:20" ht="12.95" customHeight="1" x14ac:dyDescent="0.2">
      <c r="A82" s="78" t="s">
        <v>289</v>
      </c>
      <c r="B82" s="79" t="s">
        <v>41</v>
      </c>
      <c r="C82" s="78">
        <v>58913.423999999999</v>
      </c>
      <c r="D82" s="78">
        <v>5.1999999999999998E-3</v>
      </c>
      <c r="E82" s="57">
        <f>+(C82-C$7)/C$8</f>
        <v>1781.0011586028495</v>
      </c>
      <c r="F82" s="27">
        <f>ROUND(2*E82,0)/2</f>
        <v>1781</v>
      </c>
      <c r="G82" s="27">
        <f>+C82-(C$7+F82*C$8)</f>
        <v>2.5800000003073364E-3</v>
      </c>
      <c r="K82" s="24">
        <f>G82</f>
        <v>2.5800000003073364E-3</v>
      </c>
      <c r="O82" s="27">
        <f ca="1">+C$11+C$12*F82</f>
        <v>1.6542118030492838E-3</v>
      </c>
      <c r="P82" s="27">
        <f>+D$11+D$12*F82+D$13*F82^2</f>
        <v>-8.6169963866525812E-2</v>
      </c>
      <c r="Q82" s="59">
        <f>+C82-15018.5</f>
        <v>43894.923999999999</v>
      </c>
      <c r="R82" s="24">
        <f>(P82-G82)^2</f>
        <v>7.8765560863641899E-3</v>
      </c>
      <c r="S82" s="26">
        <v>0.5</v>
      </c>
      <c r="T82" s="24">
        <f>+S82*R82</f>
        <v>3.938278043182095E-3</v>
      </c>
    </row>
    <row r="83" spans="1:20" ht="12.95" customHeight="1" x14ac:dyDescent="0.2">
      <c r="A83" s="23" t="s">
        <v>287</v>
      </c>
      <c r="B83" s="77" t="s">
        <v>41</v>
      </c>
      <c r="C83" s="73">
        <v>59515.775500000003</v>
      </c>
      <c r="D83" s="74">
        <v>2.9999999999999997E-4</v>
      </c>
      <c r="E83" s="57">
        <f>+(C83-C$7)/C$8</f>
        <v>2051.4996721782641</v>
      </c>
      <c r="F83" s="27">
        <f>ROUND(2*E83,0)/2</f>
        <v>2051.5</v>
      </c>
      <c r="G83" s="27">
        <f>+C83-(C$7+F83*C$8)</f>
        <v>-7.299999997485429E-4</v>
      </c>
      <c r="K83" s="24">
        <f>G83</f>
        <v>-7.299999997485429E-4</v>
      </c>
      <c r="O83" s="27">
        <f ca="1">+C$11+C$12*F83</f>
        <v>2.0814299466527736E-3</v>
      </c>
      <c r="P83" s="27">
        <f>+D$11+D$12*F83+D$13*F83^2</f>
        <v>-9.7194191762678295E-2</v>
      </c>
      <c r="Q83" s="59">
        <f>+C83-15018.5</f>
        <v>44497.275500000003</v>
      </c>
      <c r="R83" s="24">
        <f>(P83-G83)^2</f>
        <v>9.3053402924752841E-3</v>
      </c>
      <c r="S83" s="26">
        <v>0.5</v>
      </c>
      <c r="T83" s="24">
        <f>+S83*R83</f>
        <v>4.652670146237642E-3</v>
      </c>
    </row>
    <row r="84" spans="1:20" ht="12.95" customHeight="1" x14ac:dyDescent="0.2">
      <c r="A84" s="28" t="s">
        <v>286</v>
      </c>
      <c r="C84" s="22">
        <v>59565.883300000001</v>
      </c>
      <c r="D84" s="6">
        <v>5.0000000000000001E-4</v>
      </c>
      <c r="E84" s="57">
        <f>+(C84-C$7)/C$8</f>
        <v>2074.0016256365579</v>
      </c>
      <c r="F84" s="27">
        <f>ROUND(2*E84,0)/2</f>
        <v>2074</v>
      </c>
      <c r="G84" s="27">
        <f>+C84-(C$7+F84*C$8)</f>
        <v>3.6200000031385571E-3</v>
      </c>
      <c r="K84" s="24">
        <f>G84</f>
        <v>3.6200000031385571E-3</v>
      </c>
      <c r="O84" s="27">
        <f ca="1">+C$11+C$12*F84</f>
        <v>2.1169656517584243E-3</v>
      </c>
      <c r="P84" s="27">
        <f>+D$11+D$12*F84+D$13*F84^2</f>
        <v>-9.8090324350244743E-2</v>
      </c>
      <c r="Q84" s="59">
        <f>+C84-15018.5</f>
        <v>44547.383300000001</v>
      </c>
      <c r="R84" s="24">
        <f>(P84-G84)^2</f>
        <v>1.0344990080070436E-2</v>
      </c>
      <c r="S84" s="26">
        <v>0.5</v>
      </c>
      <c r="T84" s="24">
        <f>+S84*R84</f>
        <v>5.1724950400352182E-3</v>
      </c>
    </row>
    <row r="85" spans="1:20" ht="12.95" customHeight="1" x14ac:dyDescent="0.2">
      <c r="A85" s="23" t="s">
        <v>288</v>
      </c>
      <c r="B85" s="77" t="s">
        <v>41</v>
      </c>
      <c r="C85" s="74">
        <v>59612.644800000002</v>
      </c>
      <c r="D85" s="74">
        <v>2.0000000000000001E-4</v>
      </c>
      <c r="E85" s="57">
        <f>+(C85-C$7)/C$8</f>
        <v>2095.0008532346574</v>
      </c>
      <c r="F85" s="27">
        <f>ROUND(2*E85,0)/2</f>
        <v>2095</v>
      </c>
      <c r="G85" s="27">
        <f>+C85-(C$7+F85*C$8)</f>
        <v>1.9000000029336661E-3</v>
      </c>
      <c r="K85" s="24">
        <f>G85</f>
        <v>1.9000000029336661E-3</v>
      </c>
      <c r="O85" s="27">
        <f ca="1">+C$11+C$12*F85</f>
        <v>2.1501323098570319E-3</v>
      </c>
      <c r="P85" s="27">
        <f>+D$11+D$12*F85+D$13*F85^2</f>
        <v>-9.8923824967413795E-2</v>
      </c>
      <c r="Q85" s="59">
        <f>+C85-15018.5</f>
        <v>44594.144800000002</v>
      </c>
      <c r="R85" s="24">
        <f>(P85-G85)^2</f>
        <v>1.0165443681651259E-2</v>
      </c>
      <c r="S85" s="26">
        <v>0.5</v>
      </c>
      <c r="T85" s="24">
        <f>+S85*R85</f>
        <v>5.0827218408256297E-3</v>
      </c>
    </row>
    <row r="86" spans="1:20" ht="12.95" customHeight="1" x14ac:dyDescent="0.2">
      <c r="C86" s="75"/>
      <c r="D86" s="75"/>
    </row>
    <row r="87" spans="1:20" ht="12.95" customHeight="1" x14ac:dyDescent="0.2">
      <c r="C87" s="75"/>
      <c r="D87" s="75"/>
    </row>
    <row r="88" spans="1:20" ht="12.95" customHeight="1" x14ac:dyDescent="0.2">
      <c r="C88" s="75"/>
      <c r="D88" s="75"/>
    </row>
    <row r="89" spans="1:20" ht="12.95" customHeight="1" x14ac:dyDescent="0.2">
      <c r="C89" s="75"/>
      <c r="D89" s="75"/>
    </row>
    <row r="90" spans="1:20" ht="12.95" customHeight="1" x14ac:dyDescent="0.2">
      <c r="C90" s="75"/>
      <c r="D90" s="75"/>
    </row>
    <row r="91" spans="1:20" ht="12.95" customHeight="1" x14ac:dyDescent="0.2">
      <c r="C91" s="75"/>
      <c r="D91" s="75"/>
    </row>
    <row r="92" spans="1:20" ht="12.95" customHeight="1" x14ac:dyDescent="0.2">
      <c r="C92" s="75"/>
      <c r="D92" s="75"/>
    </row>
    <row r="93" spans="1:20" ht="12.95" customHeight="1" x14ac:dyDescent="0.2">
      <c r="C93" s="75"/>
      <c r="D93" s="75"/>
    </row>
    <row r="94" spans="1:20" ht="12.95" customHeight="1" x14ac:dyDescent="0.2">
      <c r="C94" s="75"/>
      <c r="D94" s="75"/>
    </row>
    <row r="95" spans="1:20" ht="12.95" customHeight="1" x14ac:dyDescent="0.2">
      <c r="C95" s="75"/>
      <c r="D95" s="75"/>
    </row>
    <row r="96" spans="1:20" ht="12.95" customHeight="1" x14ac:dyDescent="0.2">
      <c r="C96" s="75"/>
      <c r="D96" s="75"/>
    </row>
    <row r="97" spans="3:4" ht="12.95" customHeight="1" x14ac:dyDescent="0.2">
      <c r="C97" s="75"/>
      <c r="D97" s="75"/>
    </row>
    <row r="98" spans="3:4" ht="12.95" customHeight="1" x14ac:dyDescent="0.2">
      <c r="C98" s="75"/>
      <c r="D98" s="75"/>
    </row>
    <row r="99" spans="3:4" ht="12.95" customHeight="1" x14ac:dyDescent="0.2">
      <c r="C99" s="75"/>
      <c r="D99" s="75"/>
    </row>
    <row r="100" spans="3:4" ht="12.95" customHeight="1" x14ac:dyDescent="0.2">
      <c r="C100" s="75"/>
      <c r="D100" s="75"/>
    </row>
    <row r="101" spans="3:4" ht="12.95" customHeight="1" x14ac:dyDescent="0.2">
      <c r="C101" s="75"/>
      <c r="D101" s="75"/>
    </row>
    <row r="102" spans="3:4" ht="12.95" customHeight="1" x14ac:dyDescent="0.2">
      <c r="C102" s="75"/>
      <c r="D102" s="75"/>
    </row>
  </sheetData>
  <sortState xmlns:xlrd2="http://schemas.microsoft.com/office/spreadsheetml/2017/richdata2" ref="A21:AA95">
    <sortCondition ref="C21:C95"/>
  </sortState>
  <phoneticPr fontId="8" type="noConversion"/>
  <hyperlinks>
    <hyperlink ref="H64701" r:id="rId1" display="http://vsolj.cetus-net.org/bulletin.html" xr:uid="{00000000-0004-0000-0000-000000000000}"/>
    <hyperlink ref="H64694" r:id="rId2" display="https://www.aavso.org/ejaavso" xr:uid="{00000000-0004-0000-0000-000001000000}"/>
    <hyperlink ref="AP1552" r:id="rId3" display="http://cdsbib.u-strasbg.fr/cgi-bin/cdsbib?1990RMxAA..21..381G" xr:uid="{00000000-0004-0000-0000-000002000000}"/>
    <hyperlink ref="AP1549" r:id="rId4" display="http://cdsbib.u-strasbg.fr/cgi-bin/cdsbib?1990RMxAA..21..381G" xr:uid="{00000000-0004-0000-0000-000003000000}"/>
    <hyperlink ref="AP1551" r:id="rId5" display="http://cdsbib.u-strasbg.fr/cgi-bin/cdsbib?1990RMxAA..21..381G" xr:uid="{00000000-0004-0000-0000-000004000000}"/>
    <hyperlink ref="AP1527" r:id="rId6" display="http://cdsbib.u-strasbg.fr/cgi-bin/cdsbib?1990RMxAA..21..381G" xr:uid="{00000000-0004-0000-0000-000005000000}"/>
    <hyperlink ref="I64701" r:id="rId7" display="http://vsolj.cetus-net.org/bulletin.html" xr:uid="{00000000-0004-0000-0000-000006000000}"/>
    <hyperlink ref="AQ1688" r:id="rId8" display="http://cdsbib.u-strasbg.fr/cgi-bin/cdsbib?1990RMxAA..21..381G" xr:uid="{00000000-0004-0000-0000-000007000000}"/>
    <hyperlink ref="AQ3332" r:id="rId9" display="http://cdsbib.u-strasbg.fr/cgi-bin/cdsbib?1990RMxAA..21..381G" xr:uid="{00000000-0004-0000-0000-000008000000}"/>
    <hyperlink ref="AQ1689" r:id="rId10" display="http://cdsbib.u-strasbg.fr/cgi-bin/cdsbib?1990RMxAA..21..381G" xr:uid="{00000000-0004-0000-0000-000009000000}"/>
    <hyperlink ref="H64698" r:id="rId11" display="https://www.aavso.org/ejaavso" xr:uid="{00000000-0004-0000-0000-00000A000000}"/>
    <hyperlink ref="H2539" r:id="rId12" display="http://vsolj.cetus-net.org/bulletin.html" xr:uid="{00000000-0004-0000-0000-00000B000000}"/>
    <hyperlink ref="AP5777" r:id="rId13" display="http://cdsbib.u-strasbg.fr/cgi-bin/cdsbib?1990RMxAA..21..381G" xr:uid="{00000000-0004-0000-0000-00000C000000}"/>
    <hyperlink ref="AP5780" r:id="rId14" display="http://cdsbib.u-strasbg.fr/cgi-bin/cdsbib?1990RMxAA..21..381G" xr:uid="{00000000-0004-0000-0000-00000D000000}"/>
    <hyperlink ref="AP5778" r:id="rId15" display="http://cdsbib.u-strasbg.fr/cgi-bin/cdsbib?1990RMxAA..21..381G" xr:uid="{00000000-0004-0000-0000-00000E000000}"/>
    <hyperlink ref="AP5756" r:id="rId16" display="http://cdsbib.u-strasbg.fr/cgi-bin/cdsbib?1990RMxAA..21..381G" xr:uid="{00000000-0004-0000-0000-00000F000000}"/>
    <hyperlink ref="I2539" r:id="rId17" display="http://vsolj.cetus-net.org/bulletin.html" xr:uid="{00000000-0004-0000-0000-000010000000}"/>
    <hyperlink ref="AQ5890" r:id="rId18" display="http://cdsbib.u-strasbg.fr/cgi-bin/cdsbib?1990RMxAA..21..381G" xr:uid="{00000000-0004-0000-0000-000011000000}"/>
    <hyperlink ref="AQ442" r:id="rId19" display="http://cdsbib.u-strasbg.fr/cgi-bin/cdsbib?1990RMxAA..21..381G" xr:uid="{00000000-0004-0000-0000-000012000000}"/>
    <hyperlink ref="AQ5891" r:id="rId20" display="http://cdsbib.u-strasbg.fr/cgi-bin/cdsbib?1990RMxAA..21..381G" xr:uid="{00000000-0004-0000-0000-000013000000}"/>
    <hyperlink ref="H64859" r:id="rId21" display="http://vsolj.cetus-net.org/bulletin.html" xr:uid="{00000000-0004-0000-0000-000014000000}"/>
    <hyperlink ref="H64852" r:id="rId22" display="https://www.aavso.org/ejaavso" xr:uid="{00000000-0004-0000-0000-000015000000}"/>
    <hyperlink ref="I64859" r:id="rId23" display="http://vsolj.cetus-net.org/bulletin.html" xr:uid="{00000000-0004-0000-0000-000016000000}"/>
    <hyperlink ref="AQ58510" r:id="rId24" display="http://cdsbib.u-strasbg.fr/cgi-bin/cdsbib?1990RMxAA..21..381G" xr:uid="{00000000-0004-0000-0000-000017000000}"/>
    <hyperlink ref="H64856" r:id="rId25" display="https://www.aavso.org/ejaavso" xr:uid="{00000000-0004-0000-0000-000018000000}"/>
    <hyperlink ref="AP5874" r:id="rId26" display="http://cdsbib.u-strasbg.fr/cgi-bin/cdsbib?1990RMxAA..21..381G" xr:uid="{00000000-0004-0000-0000-000019000000}"/>
    <hyperlink ref="AP5877" r:id="rId27" display="http://cdsbib.u-strasbg.fr/cgi-bin/cdsbib?1990RMxAA..21..381G" xr:uid="{00000000-0004-0000-0000-00001A000000}"/>
    <hyperlink ref="AP5875" r:id="rId28" display="http://cdsbib.u-strasbg.fr/cgi-bin/cdsbib?1990RMxAA..21..381G" xr:uid="{00000000-0004-0000-0000-00001B000000}"/>
    <hyperlink ref="AP5859" r:id="rId29" display="http://cdsbib.u-strasbg.fr/cgi-bin/cdsbib?1990RMxAA..21..381G" xr:uid="{00000000-0004-0000-0000-00001C000000}"/>
    <hyperlink ref="AQ6088" r:id="rId30" display="http://cdsbib.u-strasbg.fr/cgi-bin/cdsbib?1990RMxAA..21..381G" xr:uid="{00000000-0004-0000-0000-00001D000000}"/>
    <hyperlink ref="AQ6092" r:id="rId31" display="http://cdsbib.u-strasbg.fr/cgi-bin/cdsbib?1990RMxAA..21..381G" xr:uid="{00000000-0004-0000-0000-00001E000000}"/>
    <hyperlink ref="AQ236" r:id="rId32" display="http://cdsbib.u-strasbg.fr/cgi-bin/cdsbib?1990RMxAA..21..381G" xr:uid="{00000000-0004-0000-0000-00001F000000}"/>
    <hyperlink ref="I2980" r:id="rId33" display="http://vsolj.cetus-net.org/bulletin.html" xr:uid="{00000000-0004-0000-0000-000020000000}"/>
    <hyperlink ref="H2980" r:id="rId34" display="http://vsolj.cetus-net.org/bulletin.html" xr:uid="{00000000-0004-0000-0000-000021000000}"/>
    <hyperlink ref="AQ897" r:id="rId35" display="http://cdsbib.u-strasbg.fr/cgi-bin/cdsbib?1990RMxAA..21..381G" xr:uid="{00000000-0004-0000-0000-000022000000}"/>
    <hyperlink ref="AQ896" r:id="rId36" display="http://cdsbib.u-strasbg.fr/cgi-bin/cdsbib?1990RMxAA..21..381G" xr:uid="{00000000-0004-0000-0000-000023000000}"/>
    <hyperlink ref="AP4150" r:id="rId37" display="http://cdsbib.u-strasbg.fr/cgi-bin/cdsbib?1990RMxAA..21..381G" xr:uid="{00000000-0004-0000-0000-000024000000}"/>
    <hyperlink ref="AP4168" r:id="rId38" display="http://cdsbib.u-strasbg.fr/cgi-bin/cdsbib?1990RMxAA..21..381G" xr:uid="{00000000-0004-0000-0000-000025000000}"/>
    <hyperlink ref="AP4169" r:id="rId39" display="http://cdsbib.u-strasbg.fr/cgi-bin/cdsbib?1990RMxAA..21..381G" xr:uid="{00000000-0004-0000-0000-000026000000}"/>
    <hyperlink ref="AP416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25" workbookViewId="0">
      <selection activeCell="A26" sqref="A26:D65"/>
    </sheetView>
  </sheetViews>
  <sheetFormatPr defaultRowHeight="12.75" x14ac:dyDescent="0.2"/>
  <cols>
    <col min="1" max="1" width="19.7109375" style="9" customWidth="1"/>
    <col min="2" max="2" width="4.42578125" style="5" customWidth="1"/>
    <col min="3" max="3" width="12.7109375" style="9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9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59</v>
      </c>
      <c r="I1" s="10" t="s">
        <v>60</v>
      </c>
      <c r="J1" s="11" t="s">
        <v>56</v>
      </c>
    </row>
    <row r="2" spans="1:16" x14ac:dyDescent="0.2">
      <c r="I2" s="12" t="s">
        <v>61</v>
      </c>
      <c r="J2" s="13" t="s">
        <v>55</v>
      </c>
    </row>
    <row r="3" spans="1:16" x14ac:dyDescent="0.2">
      <c r="A3" s="14" t="s">
        <v>62</v>
      </c>
      <c r="I3" s="12" t="s">
        <v>63</v>
      </c>
      <c r="J3" s="13" t="s">
        <v>53</v>
      </c>
    </row>
    <row r="4" spans="1:16" x14ac:dyDescent="0.2">
      <c r="I4" s="12" t="s">
        <v>64</v>
      </c>
      <c r="J4" s="13" t="s">
        <v>53</v>
      </c>
    </row>
    <row r="5" spans="1:16" ht="13.5" thickBot="1" x14ac:dyDescent="0.25">
      <c r="I5" s="15" t="s">
        <v>65</v>
      </c>
      <c r="J5" s="16" t="s">
        <v>54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ORI 114 </v>
      </c>
      <c r="B11" s="2" t="str">
        <f t="shared" ref="B11:B42" si="1">IF(H11=INT(H11),"I","II")</f>
        <v>I</v>
      </c>
      <c r="C11" s="9">
        <f t="shared" ref="C11:C42" si="2">1*G11</f>
        <v>40288.381000000001</v>
      </c>
      <c r="D11" s="5" t="str">
        <f t="shared" ref="D11:D42" si="3">VLOOKUP(F11,I$1:J$5,2,FALSE)</f>
        <v>vis</v>
      </c>
      <c r="E11" s="17">
        <f>VLOOKUP(C11,Active!C$21:E$973,3,FALSE)</f>
        <v>-6582.963149244214</v>
      </c>
      <c r="F11" s="2" t="s">
        <v>65</v>
      </c>
      <c r="G11" s="5" t="str">
        <f t="shared" ref="G11:G42" si="4">MID(I11,3,LEN(I11)-3)</f>
        <v>40288.381</v>
      </c>
      <c r="H11" s="9">
        <f t="shared" ref="H11:H42" si="5">1*K11</f>
        <v>-6583</v>
      </c>
      <c r="I11" s="18" t="s">
        <v>164</v>
      </c>
      <c r="J11" s="19" t="s">
        <v>165</v>
      </c>
      <c r="K11" s="18">
        <v>-6583</v>
      </c>
      <c r="L11" s="18" t="s">
        <v>166</v>
      </c>
      <c r="M11" s="19" t="s">
        <v>149</v>
      </c>
      <c r="N11" s="19"/>
      <c r="O11" s="20" t="s">
        <v>167</v>
      </c>
      <c r="P11" s="20" t="s">
        <v>168</v>
      </c>
    </row>
    <row r="12" spans="1:16" ht="12.75" customHeight="1" thickBot="1" x14ac:dyDescent="0.25">
      <c r="A12" s="9" t="str">
        <f t="shared" si="0"/>
        <v> ORI 114 </v>
      </c>
      <c r="B12" s="2" t="str">
        <f t="shared" si="1"/>
        <v>I</v>
      </c>
      <c r="C12" s="9">
        <f t="shared" si="2"/>
        <v>40437.593000000001</v>
      </c>
      <c r="D12" s="5" t="str">
        <f t="shared" si="3"/>
        <v>vis</v>
      </c>
      <c r="E12" s="17">
        <f>VLOOKUP(C12,Active!C$21:E$973,3,FALSE)</f>
        <v>-6515.9563862368759</v>
      </c>
      <c r="F12" s="2" t="s">
        <v>65</v>
      </c>
      <c r="G12" s="5" t="str">
        <f t="shared" si="4"/>
        <v>40437.593</v>
      </c>
      <c r="H12" s="9">
        <f t="shared" si="5"/>
        <v>-6516</v>
      </c>
      <c r="I12" s="18" t="s">
        <v>169</v>
      </c>
      <c r="J12" s="19" t="s">
        <v>170</v>
      </c>
      <c r="K12" s="18">
        <v>-6516</v>
      </c>
      <c r="L12" s="18" t="s">
        <v>171</v>
      </c>
      <c r="M12" s="19" t="s">
        <v>149</v>
      </c>
      <c r="N12" s="19"/>
      <c r="O12" s="20" t="s">
        <v>167</v>
      </c>
      <c r="P12" s="20" t="s">
        <v>168</v>
      </c>
    </row>
    <row r="13" spans="1:16" ht="12.75" customHeight="1" thickBot="1" x14ac:dyDescent="0.25">
      <c r="A13" s="9" t="str">
        <f t="shared" si="0"/>
        <v> BBS 4 </v>
      </c>
      <c r="B13" s="2" t="str">
        <f t="shared" si="1"/>
        <v>I</v>
      </c>
      <c r="C13" s="9">
        <f t="shared" si="2"/>
        <v>41515.446000000004</v>
      </c>
      <c r="D13" s="5" t="str">
        <f t="shared" si="3"/>
        <v>vis</v>
      </c>
      <c r="E13" s="17">
        <f>VLOOKUP(C13,Active!C$21:E$973,3,FALSE)</f>
        <v>-6031.9239992455605</v>
      </c>
      <c r="F13" s="2" t="s">
        <v>65</v>
      </c>
      <c r="G13" s="5" t="str">
        <f t="shared" si="4"/>
        <v>41515.446</v>
      </c>
      <c r="H13" s="9">
        <f t="shared" si="5"/>
        <v>-6032</v>
      </c>
      <c r="I13" s="18" t="s">
        <v>172</v>
      </c>
      <c r="J13" s="19" t="s">
        <v>173</v>
      </c>
      <c r="K13" s="18">
        <v>-6032</v>
      </c>
      <c r="L13" s="18" t="s">
        <v>174</v>
      </c>
      <c r="M13" s="19" t="s">
        <v>149</v>
      </c>
      <c r="N13" s="19"/>
      <c r="O13" s="20" t="s">
        <v>167</v>
      </c>
      <c r="P13" s="20" t="s">
        <v>175</v>
      </c>
    </row>
    <row r="14" spans="1:16" ht="12.75" customHeight="1" thickBot="1" x14ac:dyDescent="0.25">
      <c r="A14" s="9" t="str">
        <f t="shared" si="0"/>
        <v>BAVM 128 </v>
      </c>
      <c r="B14" s="2" t="str">
        <f t="shared" si="1"/>
        <v>I</v>
      </c>
      <c r="C14" s="9">
        <f t="shared" si="2"/>
        <v>51197.494899999998</v>
      </c>
      <c r="D14" s="5" t="str">
        <f t="shared" si="3"/>
        <v>vis</v>
      </c>
      <c r="E14" s="17">
        <f>VLOOKUP(C14,Active!C$21:E$973,3,FALSE)</f>
        <v>-1683.9978534412319</v>
      </c>
      <c r="F14" s="2" t="s">
        <v>65</v>
      </c>
      <c r="G14" s="5" t="str">
        <f t="shared" si="4"/>
        <v>51197.4949</v>
      </c>
      <c r="H14" s="9">
        <f t="shared" si="5"/>
        <v>-1684</v>
      </c>
      <c r="I14" s="18" t="s">
        <v>196</v>
      </c>
      <c r="J14" s="19" t="s">
        <v>197</v>
      </c>
      <c r="K14" s="18">
        <v>-1684</v>
      </c>
      <c r="L14" s="18" t="s">
        <v>198</v>
      </c>
      <c r="M14" s="19" t="s">
        <v>179</v>
      </c>
      <c r="N14" s="19" t="s">
        <v>190</v>
      </c>
      <c r="O14" s="20" t="s">
        <v>199</v>
      </c>
      <c r="P14" s="21" t="s">
        <v>200</v>
      </c>
    </row>
    <row r="15" spans="1:16" ht="12.75" customHeight="1" thickBot="1" x14ac:dyDescent="0.25">
      <c r="A15" s="9" t="str">
        <f t="shared" si="0"/>
        <v>BAVM 178 </v>
      </c>
      <c r="B15" s="2" t="str">
        <f t="shared" si="1"/>
        <v>I</v>
      </c>
      <c r="C15" s="9">
        <f t="shared" si="2"/>
        <v>53867.446000000004</v>
      </c>
      <c r="D15" s="5" t="str">
        <f t="shared" si="3"/>
        <v>vis</v>
      </c>
      <c r="E15" s="17">
        <f>VLOOKUP(C15,Active!C$21:E$973,3,FALSE)</f>
        <v>-485.00058379213328</v>
      </c>
      <c r="F15" s="2" t="s">
        <v>65</v>
      </c>
      <c r="G15" s="5" t="str">
        <f t="shared" si="4"/>
        <v>53867.4460</v>
      </c>
      <c r="H15" s="9">
        <f t="shared" si="5"/>
        <v>-485</v>
      </c>
      <c r="I15" s="18" t="s">
        <v>207</v>
      </c>
      <c r="J15" s="19" t="s">
        <v>208</v>
      </c>
      <c r="K15" s="18">
        <v>-485</v>
      </c>
      <c r="L15" s="18" t="s">
        <v>209</v>
      </c>
      <c r="M15" s="19" t="s">
        <v>210</v>
      </c>
      <c r="N15" s="19" t="s">
        <v>211</v>
      </c>
      <c r="O15" s="20" t="s">
        <v>181</v>
      </c>
      <c r="P15" s="21" t="s">
        <v>212</v>
      </c>
    </row>
    <row r="16" spans="1:16" ht="12.75" customHeight="1" thickBot="1" x14ac:dyDescent="0.25">
      <c r="A16" s="9" t="str">
        <f t="shared" si="0"/>
        <v>IBVS 5837 </v>
      </c>
      <c r="B16" s="2" t="str">
        <f t="shared" si="1"/>
        <v>I</v>
      </c>
      <c r="C16" s="9">
        <f t="shared" si="2"/>
        <v>54504.314299999998</v>
      </c>
      <c r="D16" s="5" t="str">
        <f t="shared" si="3"/>
        <v>vis</v>
      </c>
      <c r="E16" s="17">
        <f>VLOOKUP(C16,Active!C$21:E$973,3,FALSE)</f>
        <v>-199.00158072947232</v>
      </c>
      <c r="F16" s="2" t="s">
        <v>65</v>
      </c>
      <c r="G16" s="5" t="str">
        <f t="shared" si="4"/>
        <v>54504.3143</v>
      </c>
      <c r="H16" s="9">
        <f t="shared" si="5"/>
        <v>-199</v>
      </c>
      <c r="I16" s="18" t="s">
        <v>213</v>
      </c>
      <c r="J16" s="19" t="s">
        <v>214</v>
      </c>
      <c r="K16" s="18" t="s">
        <v>215</v>
      </c>
      <c r="L16" s="18" t="s">
        <v>216</v>
      </c>
      <c r="M16" s="19" t="s">
        <v>210</v>
      </c>
      <c r="N16" s="19" t="s">
        <v>65</v>
      </c>
      <c r="O16" s="20" t="s">
        <v>205</v>
      </c>
      <c r="P16" s="21" t="s">
        <v>217</v>
      </c>
    </row>
    <row r="17" spans="1:16" ht="12.75" customHeight="1" thickBot="1" x14ac:dyDescent="0.25">
      <c r="A17" s="9" t="str">
        <f t="shared" si="0"/>
        <v>BAVM 209 </v>
      </c>
      <c r="B17" s="2" t="str">
        <f t="shared" si="1"/>
        <v>I</v>
      </c>
      <c r="C17" s="9">
        <f t="shared" si="2"/>
        <v>54947.455300000001</v>
      </c>
      <c r="D17" s="5" t="str">
        <f t="shared" si="3"/>
        <v>vis</v>
      </c>
      <c r="E17" s="17">
        <f>VLOOKUP(C17,Active!C$21:E$973,3,FALSE)</f>
        <v>1.3472126157359828E-4</v>
      </c>
      <c r="F17" s="2" t="s">
        <v>65</v>
      </c>
      <c r="G17" s="5" t="str">
        <f t="shared" si="4"/>
        <v>54947.4553</v>
      </c>
      <c r="H17" s="9">
        <f t="shared" si="5"/>
        <v>0</v>
      </c>
      <c r="I17" s="18" t="s">
        <v>218</v>
      </c>
      <c r="J17" s="19" t="s">
        <v>219</v>
      </c>
      <c r="K17" s="18" t="s">
        <v>220</v>
      </c>
      <c r="L17" s="18" t="s">
        <v>221</v>
      </c>
      <c r="M17" s="19" t="s">
        <v>210</v>
      </c>
      <c r="N17" s="19" t="s">
        <v>211</v>
      </c>
      <c r="O17" s="20" t="s">
        <v>181</v>
      </c>
      <c r="P17" s="21" t="s">
        <v>222</v>
      </c>
    </row>
    <row r="18" spans="1:16" ht="12.75" customHeight="1" thickBot="1" x14ac:dyDescent="0.25">
      <c r="A18" s="9" t="str">
        <f t="shared" si="0"/>
        <v>IBVS 5974 </v>
      </c>
      <c r="B18" s="2" t="str">
        <f t="shared" si="1"/>
        <v>I</v>
      </c>
      <c r="C18" s="9">
        <f t="shared" si="2"/>
        <v>55263.660799999998</v>
      </c>
      <c r="D18" s="5" t="str">
        <f t="shared" si="3"/>
        <v>vis</v>
      </c>
      <c r="E18" s="17">
        <f>VLOOKUP(C18,Active!C$21:E$973,3,FALSE)</f>
        <v>141.9988144528952</v>
      </c>
      <c r="F18" s="2" t="s">
        <v>65</v>
      </c>
      <c r="G18" s="5" t="str">
        <f t="shared" si="4"/>
        <v>55263.6608</v>
      </c>
      <c r="H18" s="9">
        <f t="shared" si="5"/>
        <v>142</v>
      </c>
      <c r="I18" s="18" t="s">
        <v>229</v>
      </c>
      <c r="J18" s="19" t="s">
        <v>230</v>
      </c>
      <c r="K18" s="18" t="s">
        <v>231</v>
      </c>
      <c r="L18" s="18" t="s">
        <v>232</v>
      </c>
      <c r="M18" s="19" t="s">
        <v>210</v>
      </c>
      <c r="N18" s="19" t="s">
        <v>65</v>
      </c>
      <c r="O18" s="20" t="s">
        <v>233</v>
      </c>
      <c r="P18" s="21" t="s">
        <v>234</v>
      </c>
    </row>
    <row r="19" spans="1:16" ht="12.75" customHeight="1" thickBot="1" x14ac:dyDescent="0.25">
      <c r="A19" s="9" t="str">
        <f t="shared" si="0"/>
        <v>BAVM 220 </v>
      </c>
      <c r="B19" s="2" t="str">
        <f t="shared" si="1"/>
        <v>I</v>
      </c>
      <c r="C19" s="9">
        <f t="shared" si="2"/>
        <v>55624.406300000002</v>
      </c>
      <c r="D19" s="5" t="str">
        <f t="shared" si="3"/>
        <v>vis</v>
      </c>
      <c r="E19" s="17">
        <f>VLOOKUP(C19,Active!C$21:E$973,3,FALSE)</f>
        <v>303.99911083967299</v>
      </c>
      <c r="F19" s="2" t="s">
        <v>65</v>
      </c>
      <c r="G19" s="5" t="str">
        <f t="shared" si="4"/>
        <v>55624.4063</v>
      </c>
      <c r="H19" s="9">
        <f t="shared" si="5"/>
        <v>304</v>
      </c>
      <c r="I19" s="18" t="s">
        <v>235</v>
      </c>
      <c r="J19" s="19" t="s">
        <v>236</v>
      </c>
      <c r="K19" s="18" t="s">
        <v>237</v>
      </c>
      <c r="L19" s="18" t="s">
        <v>238</v>
      </c>
      <c r="M19" s="19" t="s">
        <v>210</v>
      </c>
      <c r="N19" s="19" t="s">
        <v>211</v>
      </c>
      <c r="O19" s="20" t="s">
        <v>181</v>
      </c>
      <c r="P19" s="21" t="s">
        <v>239</v>
      </c>
    </row>
    <row r="20" spans="1:16" ht="12.75" customHeight="1" thickBot="1" x14ac:dyDescent="0.25">
      <c r="A20" s="9" t="str">
        <f t="shared" si="0"/>
        <v>BAVM 220 </v>
      </c>
      <c r="B20" s="2" t="str">
        <f t="shared" si="1"/>
        <v>II</v>
      </c>
      <c r="C20" s="9">
        <f t="shared" si="2"/>
        <v>55654.470500000003</v>
      </c>
      <c r="D20" s="5" t="str">
        <f t="shared" si="3"/>
        <v>vis</v>
      </c>
      <c r="E20" s="17">
        <f>VLOOKUP(C20,Active!C$21:E$973,3,FALSE)</f>
        <v>317.50006736063148</v>
      </c>
      <c r="F20" s="2" t="s">
        <v>65</v>
      </c>
      <c r="G20" s="5" t="str">
        <f t="shared" si="4"/>
        <v>55654.4705</v>
      </c>
      <c r="H20" s="9">
        <f t="shared" si="5"/>
        <v>317.5</v>
      </c>
      <c r="I20" s="18" t="s">
        <v>240</v>
      </c>
      <c r="J20" s="19" t="s">
        <v>241</v>
      </c>
      <c r="K20" s="18" t="s">
        <v>242</v>
      </c>
      <c r="L20" s="18" t="s">
        <v>243</v>
      </c>
      <c r="M20" s="19" t="s">
        <v>210</v>
      </c>
      <c r="N20" s="19" t="s">
        <v>211</v>
      </c>
      <c r="O20" s="20" t="s">
        <v>181</v>
      </c>
      <c r="P20" s="21" t="s">
        <v>239</v>
      </c>
    </row>
    <row r="21" spans="1:16" ht="12.75" customHeight="1" thickBot="1" x14ac:dyDescent="0.25">
      <c r="A21" s="9" t="str">
        <f t="shared" si="0"/>
        <v>IBVS 6075 </v>
      </c>
      <c r="B21" s="2" t="str">
        <f t="shared" si="1"/>
        <v>II</v>
      </c>
      <c r="C21" s="9">
        <f t="shared" si="2"/>
        <v>55908.327100000002</v>
      </c>
      <c r="D21" s="5" t="str">
        <f t="shared" si="3"/>
        <v>vis</v>
      </c>
      <c r="E21" s="17">
        <f>VLOOKUP(C21,Active!C$21:E$973,3,FALSE)</f>
        <v>431.49967217826338</v>
      </c>
      <c r="F21" s="2" t="s">
        <v>65</v>
      </c>
      <c r="G21" s="5" t="str">
        <f t="shared" si="4"/>
        <v>55908.3271</v>
      </c>
      <c r="H21" s="9">
        <f t="shared" si="5"/>
        <v>431.5</v>
      </c>
      <c r="I21" s="18" t="s">
        <v>244</v>
      </c>
      <c r="J21" s="19" t="s">
        <v>245</v>
      </c>
      <c r="K21" s="18" t="s">
        <v>246</v>
      </c>
      <c r="L21" s="18" t="s">
        <v>247</v>
      </c>
      <c r="M21" s="19" t="s">
        <v>210</v>
      </c>
      <c r="N21" s="19" t="s">
        <v>248</v>
      </c>
      <c r="O21" s="20" t="s">
        <v>249</v>
      </c>
      <c r="P21" s="21" t="s">
        <v>250</v>
      </c>
    </row>
    <row r="22" spans="1:16" ht="12.75" customHeight="1" thickBot="1" x14ac:dyDescent="0.25">
      <c r="A22" s="9" t="str">
        <f t="shared" si="0"/>
        <v>IBVS 6029 </v>
      </c>
      <c r="B22" s="2" t="str">
        <f t="shared" si="1"/>
        <v>I</v>
      </c>
      <c r="C22" s="9">
        <f t="shared" si="2"/>
        <v>56009.645700000001</v>
      </c>
      <c r="D22" s="5" t="str">
        <f t="shared" si="3"/>
        <v>vis</v>
      </c>
      <c r="E22" s="17">
        <f>VLOOKUP(C22,Active!C$21:E$973,3,FALSE)</f>
        <v>476.99890426707105</v>
      </c>
      <c r="F22" s="2" t="s">
        <v>65</v>
      </c>
      <c r="G22" s="5" t="str">
        <f t="shared" si="4"/>
        <v>56009.6457</v>
      </c>
      <c r="H22" s="9">
        <f t="shared" si="5"/>
        <v>477</v>
      </c>
      <c r="I22" s="18" t="s">
        <v>256</v>
      </c>
      <c r="J22" s="19" t="s">
        <v>257</v>
      </c>
      <c r="K22" s="18" t="s">
        <v>258</v>
      </c>
      <c r="L22" s="18" t="s">
        <v>259</v>
      </c>
      <c r="M22" s="19" t="s">
        <v>210</v>
      </c>
      <c r="N22" s="19" t="s">
        <v>65</v>
      </c>
      <c r="O22" s="20" t="s">
        <v>205</v>
      </c>
      <c r="P22" s="21" t="s">
        <v>260</v>
      </c>
    </row>
    <row r="23" spans="1:16" ht="12.75" customHeight="1" thickBot="1" x14ac:dyDescent="0.25">
      <c r="A23" s="9" t="str">
        <f t="shared" si="0"/>
        <v>BAVM 234 </v>
      </c>
      <c r="B23" s="2" t="str">
        <f t="shared" si="1"/>
        <v>I</v>
      </c>
      <c r="C23" s="9">
        <f t="shared" si="2"/>
        <v>56281.318500000001</v>
      </c>
      <c r="D23" s="5" t="str">
        <f t="shared" si="3"/>
        <v>vis</v>
      </c>
      <c r="E23" s="17">
        <f>VLOOKUP(C23,Active!C$21:E$973,3,FALSE)</f>
        <v>598.99924556093424</v>
      </c>
      <c r="F23" s="2" t="s">
        <v>65</v>
      </c>
      <c r="G23" s="5" t="str">
        <f t="shared" si="4"/>
        <v>56281.3185</v>
      </c>
      <c r="H23" s="9">
        <f t="shared" si="5"/>
        <v>599</v>
      </c>
      <c r="I23" s="18" t="s">
        <v>261</v>
      </c>
      <c r="J23" s="19" t="s">
        <v>262</v>
      </c>
      <c r="K23" s="18" t="s">
        <v>263</v>
      </c>
      <c r="L23" s="18" t="s">
        <v>264</v>
      </c>
      <c r="M23" s="19" t="s">
        <v>210</v>
      </c>
      <c r="N23" s="19" t="s">
        <v>190</v>
      </c>
      <c r="O23" s="20" t="s">
        <v>265</v>
      </c>
      <c r="P23" s="21" t="s">
        <v>266</v>
      </c>
    </row>
    <row r="24" spans="1:16" ht="12.75" customHeight="1" thickBot="1" x14ac:dyDescent="0.25">
      <c r="A24" s="9" t="str">
        <f t="shared" si="0"/>
        <v>BAVM 238 </v>
      </c>
      <c r="B24" s="2" t="str">
        <f t="shared" si="1"/>
        <v>II</v>
      </c>
      <c r="C24" s="9">
        <f t="shared" si="2"/>
        <v>56725.576000000001</v>
      </c>
      <c r="D24" s="5" t="str">
        <f t="shared" si="3"/>
        <v>vis</v>
      </c>
      <c r="E24" s="17">
        <f>VLOOKUP(C24,Active!C$21:E$973,3,FALSE)</f>
        <v>798.50234864066215</v>
      </c>
      <c r="F24" s="2" t="s">
        <v>65</v>
      </c>
      <c r="G24" s="5" t="str">
        <f t="shared" si="4"/>
        <v>56725.5760</v>
      </c>
      <c r="H24" s="9">
        <f t="shared" si="5"/>
        <v>798.5</v>
      </c>
      <c r="I24" s="18" t="s">
        <v>273</v>
      </c>
      <c r="J24" s="19" t="s">
        <v>274</v>
      </c>
      <c r="K24" s="18" t="s">
        <v>275</v>
      </c>
      <c r="L24" s="18" t="s">
        <v>276</v>
      </c>
      <c r="M24" s="19" t="s">
        <v>210</v>
      </c>
      <c r="N24" s="19" t="s">
        <v>211</v>
      </c>
      <c r="O24" s="20" t="s">
        <v>181</v>
      </c>
      <c r="P24" s="21" t="s">
        <v>277</v>
      </c>
    </row>
    <row r="25" spans="1:16" ht="12.75" customHeight="1" thickBot="1" x14ac:dyDescent="0.25">
      <c r="A25" s="9" t="str">
        <f t="shared" si="0"/>
        <v>BAVM 238 </v>
      </c>
      <c r="B25" s="2" t="str">
        <f t="shared" si="1"/>
        <v>II</v>
      </c>
      <c r="C25" s="9">
        <f t="shared" si="2"/>
        <v>56734.485000000001</v>
      </c>
      <c r="D25" s="5" t="str">
        <f t="shared" si="3"/>
        <v>vis</v>
      </c>
      <c r="E25" s="17">
        <f>VLOOKUP(C25,Active!C$21:E$973,3,FALSE)</f>
        <v>802.50312104256238</v>
      </c>
      <c r="F25" s="2" t="s">
        <v>65</v>
      </c>
      <c r="G25" s="5" t="str">
        <f t="shared" si="4"/>
        <v>56734.4850</v>
      </c>
      <c r="H25" s="9">
        <f t="shared" si="5"/>
        <v>802.5</v>
      </c>
      <c r="I25" s="18" t="s">
        <v>278</v>
      </c>
      <c r="J25" s="19" t="s">
        <v>279</v>
      </c>
      <c r="K25" s="18" t="s">
        <v>280</v>
      </c>
      <c r="L25" s="18" t="s">
        <v>281</v>
      </c>
      <c r="M25" s="19" t="s">
        <v>210</v>
      </c>
      <c r="N25" s="19" t="s">
        <v>211</v>
      </c>
      <c r="O25" s="20" t="s">
        <v>181</v>
      </c>
      <c r="P25" s="21" t="s">
        <v>277</v>
      </c>
    </row>
    <row r="26" spans="1:16" ht="12.75" customHeight="1" thickBot="1" x14ac:dyDescent="0.25">
      <c r="A26" s="9" t="str">
        <f t="shared" si="0"/>
        <v> VB 5.3 </v>
      </c>
      <c r="B26" s="2" t="str">
        <f t="shared" si="1"/>
        <v>I</v>
      </c>
      <c r="C26" s="9">
        <f t="shared" si="2"/>
        <v>26393.3</v>
      </c>
      <c r="D26" s="5" t="str">
        <f t="shared" si="3"/>
        <v>vis</v>
      </c>
      <c r="E26" s="17">
        <f>VLOOKUP(C26,Active!C$21:E$973,3,FALSE)</f>
        <v>-12822.839295497617</v>
      </c>
      <c r="F26" s="2" t="s">
        <v>65</v>
      </c>
      <c r="G26" s="5" t="str">
        <f t="shared" si="4"/>
        <v>26393.300</v>
      </c>
      <c r="H26" s="9">
        <f t="shared" si="5"/>
        <v>-12823</v>
      </c>
      <c r="I26" s="18" t="s">
        <v>66</v>
      </c>
      <c r="J26" s="19" t="s">
        <v>67</v>
      </c>
      <c r="K26" s="18">
        <v>-12823</v>
      </c>
      <c r="L26" s="18" t="s">
        <v>68</v>
      </c>
      <c r="M26" s="19" t="s">
        <v>69</v>
      </c>
      <c r="N26" s="19"/>
      <c r="O26" s="20" t="s">
        <v>70</v>
      </c>
      <c r="P26" s="20" t="s">
        <v>71</v>
      </c>
    </row>
    <row r="27" spans="1:16" ht="12.75" customHeight="1" thickBot="1" x14ac:dyDescent="0.25">
      <c r="A27" s="9" t="str">
        <f t="shared" si="0"/>
        <v> VB 5.3 </v>
      </c>
      <c r="B27" s="2" t="str">
        <f t="shared" si="1"/>
        <v>I</v>
      </c>
      <c r="C27" s="9">
        <f t="shared" si="2"/>
        <v>26415.359</v>
      </c>
      <c r="D27" s="5" t="str">
        <f t="shared" si="3"/>
        <v>vis</v>
      </c>
      <c r="E27" s="17">
        <f>VLOOKUP(C27,Active!C$21:E$973,3,FALSE)</f>
        <v>-12812.933241124114</v>
      </c>
      <c r="F27" s="2" t="s">
        <v>65</v>
      </c>
      <c r="G27" s="5" t="str">
        <f t="shared" si="4"/>
        <v>26415.359</v>
      </c>
      <c r="H27" s="9">
        <f t="shared" si="5"/>
        <v>-12813</v>
      </c>
      <c r="I27" s="18" t="s">
        <v>72</v>
      </c>
      <c r="J27" s="19" t="s">
        <v>73</v>
      </c>
      <c r="K27" s="18">
        <v>-12813</v>
      </c>
      <c r="L27" s="18" t="s">
        <v>74</v>
      </c>
      <c r="M27" s="19" t="s">
        <v>69</v>
      </c>
      <c r="N27" s="19"/>
      <c r="O27" s="20" t="s">
        <v>70</v>
      </c>
      <c r="P27" s="20" t="s">
        <v>71</v>
      </c>
    </row>
    <row r="28" spans="1:16" ht="12.75" customHeight="1" thickBot="1" x14ac:dyDescent="0.25">
      <c r="A28" s="9" t="str">
        <f t="shared" si="0"/>
        <v> VB 5.3 </v>
      </c>
      <c r="B28" s="2" t="str">
        <f t="shared" si="1"/>
        <v>I</v>
      </c>
      <c r="C28" s="9">
        <f t="shared" si="2"/>
        <v>26444.441999999999</v>
      </c>
      <c r="D28" s="5" t="str">
        <f t="shared" si="3"/>
        <v>vis</v>
      </c>
      <c r="E28" s="17">
        <f>VLOOKUP(C28,Active!C$21:E$973,3,FALSE)</f>
        <v>-12799.872912943121</v>
      </c>
      <c r="F28" s="2" t="s">
        <v>65</v>
      </c>
      <c r="G28" s="5" t="str">
        <f t="shared" si="4"/>
        <v>26444.442</v>
      </c>
      <c r="H28" s="9">
        <f t="shared" si="5"/>
        <v>-12800</v>
      </c>
      <c r="I28" s="18" t="s">
        <v>75</v>
      </c>
      <c r="J28" s="19" t="s">
        <v>76</v>
      </c>
      <c r="K28" s="18">
        <v>-12800</v>
      </c>
      <c r="L28" s="18" t="s">
        <v>77</v>
      </c>
      <c r="M28" s="19" t="s">
        <v>69</v>
      </c>
      <c r="N28" s="19"/>
      <c r="O28" s="20" t="s">
        <v>70</v>
      </c>
      <c r="P28" s="20" t="s">
        <v>71</v>
      </c>
    </row>
    <row r="29" spans="1:16" ht="12.75" customHeight="1" thickBot="1" x14ac:dyDescent="0.25">
      <c r="A29" s="9" t="str">
        <f t="shared" si="0"/>
        <v> VB 5.3 </v>
      </c>
      <c r="B29" s="2" t="str">
        <f t="shared" si="1"/>
        <v>I</v>
      </c>
      <c r="C29" s="9">
        <f t="shared" si="2"/>
        <v>26631.402999999998</v>
      </c>
      <c r="D29" s="5" t="str">
        <f t="shared" si="3"/>
        <v>vis</v>
      </c>
      <c r="E29" s="17">
        <f>VLOOKUP(C29,Active!C$21:E$973,3,FALSE)</f>
        <v>-12715.914173574874</v>
      </c>
      <c r="F29" s="2" t="s">
        <v>65</v>
      </c>
      <c r="G29" s="5" t="str">
        <f t="shared" si="4"/>
        <v>26631.403</v>
      </c>
      <c r="H29" s="9">
        <f t="shared" si="5"/>
        <v>-12716</v>
      </c>
      <c r="I29" s="18" t="s">
        <v>78</v>
      </c>
      <c r="J29" s="19" t="s">
        <v>79</v>
      </c>
      <c r="K29" s="18">
        <v>-12716</v>
      </c>
      <c r="L29" s="18" t="s">
        <v>80</v>
      </c>
      <c r="M29" s="19" t="s">
        <v>69</v>
      </c>
      <c r="N29" s="19"/>
      <c r="O29" s="20" t="s">
        <v>70</v>
      </c>
      <c r="P29" s="20" t="s">
        <v>71</v>
      </c>
    </row>
    <row r="30" spans="1:16" ht="12.75" customHeight="1" thickBot="1" x14ac:dyDescent="0.25">
      <c r="A30" s="9" t="str">
        <f t="shared" si="0"/>
        <v> VB 5.3 </v>
      </c>
      <c r="B30" s="2" t="str">
        <f t="shared" si="1"/>
        <v>I</v>
      </c>
      <c r="C30" s="9">
        <f t="shared" si="2"/>
        <v>26631.424999999999</v>
      </c>
      <c r="D30" s="5" t="str">
        <f t="shared" si="3"/>
        <v>vis</v>
      </c>
      <c r="E30" s="17">
        <f>VLOOKUP(C30,Active!C$21:E$973,3,FALSE)</f>
        <v>-12715.904294015683</v>
      </c>
      <c r="F30" s="2" t="s">
        <v>65</v>
      </c>
      <c r="G30" s="5" t="str">
        <f t="shared" si="4"/>
        <v>26631.425</v>
      </c>
      <c r="H30" s="9">
        <f t="shared" si="5"/>
        <v>-12716</v>
      </c>
      <c r="I30" s="18" t="s">
        <v>81</v>
      </c>
      <c r="J30" s="19" t="s">
        <v>82</v>
      </c>
      <c r="K30" s="18">
        <v>-12716</v>
      </c>
      <c r="L30" s="18" t="s">
        <v>83</v>
      </c>
      <c r="M30" s="19" t="s">
        <v>69</v>
      </c>
      <c r="N30" s="19"/>
      <c r="O30" s="20" t="s">
        <v>70</v>
      </c>
      <c r="P30" s="20" t="s">
        <v>71</v>
      </c>
    </row>
    <row r="31" spans="1:16" ht="12.75" customHeight="1" thickBot="1" x14ac:dyDescent="0.25">
      <c r="A31" s="9" t="str">
        <f t="shared" si="0"/>
        <v> VB 5.3 </v>
      </c>
      <c r="B31" s="2" t="str">
        <f t="shared" si="1"/>
        <v>I</v>
      </c>
      <c r="C31" s="9">
        <f t="shared" si="2"/>
        <v>26651.53</v>
      </c>
      <c r="D31" s="5" t="str">
        <f t="shared" si="3"/>
        <v>vis</v>
      </c>
      <c r="E31" s="17">
        <f>VLOOKUP(C31,Active!C$21:E$973,3,FALSE)</f>
        <v>-12706.875724126783</v>
      </c>
      <c r="F31" s="2" t="s">
        <v>65</v>
      </c>
      <c r="G31" s="5" t="str">
        <f t="shared" si="4"/>
        <v>26651.530</v>
      </c>
      <c r="H31" s="9">
        <f t="shared" si="5"/>
        <v>-12707</v>
      </c>
      <c r="I31" s="18" t="s">
        <v>84</v>
      </c>
      <c r="J31" s="19" t="s">
        <v>85</v>
      </c>
      <c r="K31" s="18">
        <v>-12707</v>
      </c>
      <c r="L31" s="18" t="s">
        <v>86</v>
      </c>
      <c r="M31" s="19" t="s">
        <v>69</v>
      </c>
      <c r="N31" s="19"/>
      <c r="O31" s="20" t="s">
        <v>70</v>
      </c>
      <c r="P31" s="20" t="s">
        <v>71</v>
      </c>
    </row>
    <row r="32" spans="1:16" ht="12.75" customHeight="1" thickBot="1" x14ac:dyDescent="0.25">
      <c r="A32" s="9" t="str">
        <f t="shared" si="0"/>
        <v> VB 5.3 </v>
      </c>
      <c r="B32" s="2" t="str">
        <f t="shared" si="1"/>
        <v>I</v>
      </c>
      <c r="C32" s="9">
        <f t="shared" si="2"/>
        <v>26769.455999999998</v>
      </c>
      <c r="D32" s="5" t="str">
        <f t="shared" si="3"/>
        <v>vis</v>
      </c>
      <c r="E32" s="17">
        <f>VLOOKUP(C32,Active!C$21:E$973,3,FALSE)</f>
        <v>-12653.918592432259</v>
      </c>
      <c r="F32" s="2" t="s">
        <v>65</v>
      </c>
      <c r="G32" s="5" t="str">
        <f t="shared" si="4"/>
        <v>26769.456</v>
      </c>
      <c r="H32" s="9">
        <f t="shared" si="5"/>
        <v>-12654</v>
      </c>
      <c r="I32" s="18" t="s">
        <v>87</v>
      </c>
      <c r="J32" s="19" t="s">
        <v>88</v>
      </c>
      <c r="K32" s="18">
        <v>-12654</v>
      </c>
      <c r="L32" s="18" t="s">
        <v>89</v>
      </c>
      <c r="M32" s="19" t="s">
        <v>69</v>
      </c>
      <c r="N32" s="19"/>
      <c r="O32" s="20" t="s">
        <v>70</v>
      </c>
      <c r="P32" s="20" t="s">
        <v>71</v>
      </c>
    </row>
    <row r="33" spans="1:16" ht="12.75" customHeight="1" thickBot="1" x14ac:dyDescent="0.25">
      <c r="A33" s="9" t="str">
        <f t="shared" si="0"/>
        <v> VB 5.3 </v>
      </c>
      <c r="B33" s="2" t="str">
        <f t="shared" si="1"/>
        <v>I</v>
      </c>
      <c r="C33" s="9">
        <f t="shared" si="2"/>
        <v>27535.423999999999</v>
      </c>
      <c r="D33" s="5" t="str">
        <f t="shared" si="3"/>
        <v>vis</v>
      </c>
      <c r="E33" s="17">
        <f>VLOOKUP(C33,Active!C$21:E$973,3,FALSE)</f>
        <v>-12309.944674468527</v>
      </c>
      <c r="F33" s="2" t="s">
        <v>65</v>
      </c>
      <c r="G33" s="5" t="str">
        <f t="shared" si="4"/>
        <v>27535.424</v>
      </c>
      <c r="H33" s="9">
        <f t="shared" si="5"/>
        <v>-12310</v>
      </c>
      <c r="I33" s="18" t="s">
        <v>90</v>
      </c>
      <c r="J33" s="19" t="s">
        <v>91</v>
      </c>
      <c r="K33" s="18">
        <v>-12310</v>
      </c>
      <c r="L33" s="18" t="s">
        <v>92</v>
      </c>
      <c r="M33" s="19" t="s">
        <v>69</v>
      </c>
      <c r="N33" s="19"/>
      <c r="O33" s="20" t="s">
        <v>70</v>
      </c>
      <c r="P33" s="20" t="s">
        <v>71</v>
      </c>
    </row>
    <row r="34" spans="1:16" ht="12.75" customHeight="1" thickBot="1" x14ac:dyDescent="0.25">
      <c r="A34" s="9" t="str">
        <f t="shared" si="0"/>
        <v> VB 5.3 </v>
      </c>
      <c r="B34" s="2" t="str">
        <f t="shared" si="1"/>
        <v>I</v>
      </c>
      <c r="C34" s="9">
        <f t="shared" si="2"/>
        <v>27544.387999999999</v>
      </c>
      <c r="D34" s="5" t="str">
        <f t="shared" si="3"/>
        <v>vis</v>
      </c>
      <c r="E34" s="17">
        <f>VLOOKUP(C34,Active!C$21:E$973,3,FALSE)</f>
        <v>-12305.919203168645</v>
      </c>
      <c r="F34" s="2" t="s">
        <v>65</v>
      </c>
      <c r="G34" s="5" t="str">
        <f t="shared" si="4"/>
        <v>27544.388</v>
      </c>
      <c r="H34" s="9">
        <f t="shared" si="5"/>
        <v>-12306</v>
      </c>
      <c r="I34" s="18" t="s">
        <v>93</v>
      </c>
      <c r="J34" s="19" t="s">
        <v>94</v>
      </c>
      <c r="K34" s="18">
        <v>-12306</v>
      </c>
      <c r="L34" s="18" t="s">
        <v>95</v>
      </c>
      <c r="M34" s="19" t="s">
        <v>69</v>
      </c>
      <c r="N34" s="19"/>
      <c r="O34" s="20" t="s">
        <v>70</v>
      </c>
      <c r="P34" s="20" t="s">
        <v>71</v>
      </c>
    </row>
    <row r="35" spans="1:16" ht="12.75" customHeight="1" thickBot="1" x14ac:dyDescent="0.25">
      <c r="A35" s="9" t="str">
        <f t="shared" si="0"/>
        <v> VB 5.3 </v>
      </c>
      <c r="B35" s="2" t="str">
        <f t="shared" si="1"/>
        <v>I</v>
      </c>
      <c r="C35" s="9">
        <f t="shared" si="2"/>
        <v>28183.424999999999</v>
      </c>
      <c r="D35" s="5" t="str">
        <f t="shared" si="3"/>
        <v>vis</v>
      </c>
      <c r="E35" s="17">
        <f>VLOOKUP(C35,Active!C$21:E$973,3,FALSE)</f>
        <v>-12018.946300105084</v>
      </c>
      <c r="F35" s="2" t="s">
        <v>65</v>
      </c>
      <c r="G35" s="5" t="str">
        <f t="shared" si="4"/>
        <v>28183.425</v>
      </c>
      <c r="H35" s="9">
        <f t="shared" si="5"/>
        <v>-12019</v>
      </c>
      <c r="I35" s="18" t="s">
        <v>96</v>
      </c>
      <c r="J35" s="19" t="s">
        <v>97</v>
      </c>
      <c r="K35" s="18">
        <v>-12019</v>
      </c>
      <c r="L35" s="18" t="s">
        <v>98</v>
      </c>
      <c r="M35" s="19" t="s">
        <v>69</v>
      </c>
      <c r="N35" s="19"/>
      <c r="O35" s="20" t="s">
        <v>70</v>
      </c>
      <c r="P35" s="20" t="s">
        <v>71</v>
      </c>
    </row>
    <row r="36" spans="1:16" ht="12.75" customHeight="1" thickBot="1" x14ac:dyDescent="0.25">
      <c r="A36" s="9" t="str">
        <f t="shared" si="0"/>
        <v> VB 5.3 </v>
      </c>
      <c r="B36" s="2" t="str">
        <f t="shared" si="1"/>
        <v>I</v>
      </c>
      <c r="C36" s="9">
        <f t="shared" si="2"/>
        <v>28693.435000000001</v>
      </c>
      <c r="D36" s="5" t="str">
        <f t="shared" si="3"/>
        <v>vis</v>
      </c>
      <c r="E36" s="17">
        <f>VLOOKUP(C36,Active!C$21:E$973,3,FALSE)</f>
        <v>-11789.91566449017</v>
      </c>
      <c r="F36" s="2" t="s">
        <v>65</v>
      </c>
      <c r="G36" s="5" t="str">
        <f t="shared" si="4"/>
        <v>28693.435</v>
      </c>
      <c r="H36" s="9">
        <f t="shared" si="5"/>
        <v>-11790</v>
      </c>
      <c r="I36" s="18" t="s">
        <v>99</v>
      </c>
      <c r="J36" s="19" t="s">
        <v>100</v>
      </c>
      <c r="K36" s="18">
        <v>-11790</v>
      </c>
      <c r="L36" s="18" t="s">
        <v>101</v>
      </c>
      <c r="M36" s="19" t="s">
        <v>69</v>
      </c>
      <c r="N36" s="19"/>
      <c r="O36" s="20" t="s">
        <v>70</v>
      </c>
      <c r="P36" s="20" t="s">
        <v>71</v>
      </c>
    </row>
    <row r="37" spans="1:16" ht="12.75" customHeight="1" thickBot="1" x14ac:dyDescent="0.25">
      <c r="A37" s="9" t="str">
        <f t="shared" si="0"/>
        <v> VB 5.3 </v>
      </c>
      <c r="B37" s="2" t="str">
        <f t="shared" si="1"/>
        <v>I</v>
      </c>
      <c r="C37" s="9">
        <f t="shared" si="2"/>
        <v>29163.384999999998</v>
      </c>
      <c r="D37" s="5" t="str">
        <f t="shared" si="3"/>
        <v>vis</v>
      </c>
      <c r="E37" s="17">
        <f>VLOOKUP(C37,Active!C$21:E$973,3,FALSE)</f>
        <v>-11578.874808022203</v>
      </c>
      <c r="F37" s="2" t="s">
        <v>65</v>
      </c>
      <c r="G37" s="5" t="str">
        <f t="shared" si="4"/>
        <v>29163.385</v>
      </c>
      <c r="H37" s="9">
        <f t="shared" si="5"/>
        <v>-11579</v>
      </c>
      <c r="I37" s="18" t="s">
        <v>102</v>
      </c>
      <c r="J37" s="19" t="s">
        <v>103</v>
      </c>
      <c r="K37" s="18">
        <v>-11579</v>
      </c>
      <c r="L37" s="18" t="s">
        <v>104</v>
      </c>
      <c r="M37" s="19" t="s">
        <v>69</v>
      </c>
      <c r="N37" s="19"/>
      <c r="O37" s="20" t="s">
        <v>70</v>
      </c>
      <c r="P37" s="20" t="s">
        <v>71</v>
      </c>
    </row>
    <row r="38" spans="1:16" ht="12.75" customHeight="1" thickBot="1" x14ac:dyDescent="0.25">
      <c r="A38" s="9" t="str">
        <f t="shared" si="0"/>
        <v> VB 5.3 </v>
      </c>
      <c r="B38" s="2" t="str">
        <f t="shared" si="1"/>
        <v>I</v>
      </c>
      <c r="C38" s="9">
        <f t="shared" si="2"/>
        <v>29194.458999999999</v>
      </c>
      <c r="D38" s="5" t="str">
        <f t="shared" si="3"/>
        <v>vis</v>
      </c>
      <c r="E38" s="17">
        <f>VLOOKUP(C38,Active!C$21:E$973,3,FALSE)</f>
        <v>-11564.920379734331</v>
      </c>
      <c r="F38" s="2" t="s">
        <v>65</v>
      </c>
      <c r="G38" s="5" t="str">
        <f t="shared" si="4"/>
        <v>29194.459</v>
      </c>
      <c r="H38" s="9">
        <f t="shared" si="5"/>
        <v>-11565</v>
      </c>
      <c r="I38" s="18" t="s">
        <v>105</v>
      </c>
      <c r="J38" s="19" t="s">
        <v>106</v>
      </c>
      <c r="K38" s="18">
        <v>-11565</v>
      </c>
      <c r="L38" s="18" t="s">
        <v>107</v>
      </c>
      <c r="M38" s="19" t="s">
        <v>69</v>
      </c>
      <c r="N38" s="19"/>
      <c r="O38" s="20" t="s">
        <v>108</v>
      </c>
      <c r="P38" s="20" t="s">
        <v>71</v>
      </c>
    </row>
    <row r="39" spans="1:16" ht="12.75" customHeight="1" thickBot="1" x14ac:dyDescent="0.25">
      <c r="A39" s="9" t="str">
        <f t="shared" si="0"/>
        <v> VB 5.3 </v>
      </c>
      <c r="B39" s="2" t="str">
        <f t="shared" si="1"/>
        <v>I</v>
      </c>
      <c r="C39" s="9">
        <f t="shared" si="2"/>
        <v>29194.530999999999</v>
      </c>
      <c r="D39" s="5" t="str">
        <f t="shared" si="3"/>
        <v>vis</v>
      </c>
      <c r="E39" s="17">
        <f>VLOOKUP(C39,Active!C$21:E$973,3,FALSE)</f>
        <v>-11564.88804663152</v>
      </c>
      <c r="F39" s="2" t="s">
        <v>65</v>
      </c>
      <c r="G39" s="5" t="str">
        <f t="shared" si="4"/>
        <v>29194.531</v>
      </c>
      <c r="H39" s="9">
        <f t="shared" si="5"/>
        <v>-11565</v>
      </c>
      <c r="I39" s="18" t="s">
        <v>109</v>
      </c>
      <c r="J39" s="19" t="s">
        <v>110</v>
      </c>
      <c r="K39" s="18">
        <v>-11565</v>
      </c>
      <c r="L39" s="18" t="s">
        <v>111</v>
      </c>
      <c r="M39" s="19" t="s">
        <v>69</v>
      </c>
      <c r="N39" s="19"/>
      <c r="O39" s="20" t="s">
        <v>70</v>
      </c>
      <c r="P39" s="20" t="s">
        <v>71</v>
      </c>
    </row>
    <row r="40" spans="1:16" ht="12.75" customHeight="1" thickBot="1" x14ac:dyDescent="0.25">
      <c r="A40" s="9" t="str">
        <f t="shared" si="0"/>
        <v> VB 5.3 </v>
      </c>
      <c r="B40" s="2" t="str">
        <f t="shared" si="1"/>
        <v>I</v>
      </c>
      <c r="C40" s="9">
        <f t="shared" si="2"/>
        <v>29341.401000000002</v>
      </c>
      <c r="D40" s="5" t="str">
        <f t="shared" si="3"/>
        <v>vis</v>
      </c>
      <c r="E40" s="17">
        <f>VLOOKUP(C40,Active!C$21:E$973,3,FALSE)</f>
        <v>-11498.93300760726</v>
      </c>
      <c r="F40" s="2" t="s">
        <v>65</v>
      </c>
      <c r="G40" s="5" t="str">
        <f t="shared" si="4"/>
        <v>29341.401</v>
      </c>
      <c r="H40" s="9">
        <f t="shared" si="5"/>
        <v>-11499</v>
      </c>
      <c r="I40" s="18" t="s">
        <v>112</v>
      </c>
      <c r="J40" s="19" t="s">
        <v>113</v>
      </c>
      <c r="K40" s="18">
        <v>-11499</v>
      </c>
      <c r="L40" s="18" t="s">
        <v>74</v>
      </c>
      <c r="M40" s="19" t="s">
        <v>69</v>
      </c>
      <c r="N40" s="19"/>
      <c r="O40" s="20" t="s">
        <v>70</v>
      </c>
      <c r="P40" s="20" t="s">
        <v>71</v>
      </c>
    </row>
    <row r="41" spans="1:16" ht="12.75" customHeight="1" thickBot="1" x14ac:dyDescent="0.25">
      <c r="A41" s="9" t="str">
        <f t="shared" si="0"/>
        <v> VB 5.3 </v>
      </c>
      <c r="B41" s="2" t="str">
        <f t="shared" si="1"/>
        <v>I</v>
      </c>
      <c r="C41" s="9">
        <f t="shared" si="2"/>
        <v>29499.544000000002</v>
      </c>
      <c r="D41" s="5" t="str">
        <f t="shared" si="3"/>
        <v>vis</v>
      </c>
      <c r="E41" s="17">
        <f>VLOOKUP(C41,Active!C$21:E$973,3,FALSE)</f>
        <v>-11427.91559263883</v>
      </c>
      <c r="F41" s="2" t="s">
        <v>65</v>
      </c>
      <c r="G41" s="5" t="str">
        <f t="shared" si="4"/>
        <v>29499.544</v>
      </c>
      <c r="H41" s="9">
        <f t="shared" si="5"/>
        <v>-11428</v>
      </c>
      <c r="I41" s="18" t="s">
        <v>114</v>
      </c>
      <c r="J41" s="19" t="s">
        <v>115</v>
      </c>
      <c r="K41" s="18">
        <v>-11428</v>
      </c>
      <c r="L41" s="18" t="s">
        <v>101</v>
      </c>
      <c r="M41" s="19" t="s">
        <v>69</v>
      </c>
      <c r="N41" s="19"/>
      <c r="O41" s="20" t="s">
        <v>108</v>
      </c>
      <c r="P41" s="20" t="s">
        <v>71</v>
      </c>
    </row>
    <row r="42" spans="1:16" ht="12.75" customHeight="1" thickBot="1" x14ac:dyDescent="0.25">
      <c r="A42" s="9" t="str">
        <f t="shared" si="0"/>
        <v> VB 5.3 </v>
      </c>
      <c r="B42" s="2" t="str">
        <f t="shared" si="1"/>
        <v>I</v>
      </c>
      <c r="C42" s="9">
        <f t="shared" si="2"/>
        <v>29546.308000000001</v>
      </c>
      <c r="D42" s="5" t="str">
        <f t="shared" si="3"/>
        <v>vis</v>
      </c>
      <c r="E42" s="17">
        <f>VLOOKUP(C42,Active!C$21:E$973,3,FALSE)</f>
        <v>-11406.91524236355</v>
      </c>
      <c r="F42" s="2" t="s">
        <v>65</v>
      </c>
      <c r="G42" s="5" t="str">
        <f t="shared" si="4"/>
        <v>29546.308</v>
      </c>
      <c r="H42" s="9">
        <f t="shared" si="5"/>
        <v>-11407</v>
      </c>
      <c r="I42" s="18" t="s">
        <v>116</v>
      </c>
      <c r="J42" s="19" t="s">
        <v>117</v>
      </c>
      <c r="K42" s="18">
        <v>-11407</v>
      </c>
      <c r="L42" s="18" t="s">
        <v>118</v>
      </c>
      <c r="M42" s="19" t="s">
        <v>69</v>
      </c>
      <c r="N42" s="19"/>
      <c r="O42" s="20" t="s">
        <v>108</v>
      </c>
      <c r="P42" s="20" t="s">
        <v>71</v>
      </c>
    </row>
    <row r="43" spans="1:16" ht="12.75" customHeight="1" thickBot="1" x14ac:dyDescent="0.25">
      <c r="A43" s="9" t="str">
        <f t="shared" ref="A43:A65" si="6">P43</f>
        <v> VB 5.3 </v>
      </c>
      <c r="B43" s="2" t="str">
        <f t="shared" ref="B43:B65" si="7">IF(H43=INT(H43),"I","II")</f>
        <v>I</v>
      </c>
      <c r="C43" s="9">
        <f t="shared" ref="C43:C65" si="8">1*G43</f>
        <v>29619.727999999999</v>
      </c>
      <c r="D43" s="5" t="str">
        <f t="shared" ref="D43:D65" si="9">VLOOKUP(F43,I$1:J$5,2,FALSE)</f>
        <v>vis</v>
      </c>
      <c r="E43" s="17">
        <f>VLOOKUP(C43,Active!C$21:E$973,3,FALSE)</f>
        <v>-11373.944458914508</v>
      </c>
      <c r="F43" s="2" t="s">
        <v>65</v>
      </c>
      <c r="G43" s="5" t="str">
        <f t="shared" ref="G43:G65" si="10">MID(I43,3,LEN(I43)-3)</f>
        <v>29619.728</v>
      </c>
      <c r="H43" s="9">
        <f t="shared" ref="H43:H65" si="11">1*K43</f>
        <v>-11374</v>
      </c>
      <c r="I43" s="18" t="s">
        <v>119</v>
      </c>
      <c r="J43" s="19" t="s">
        <v>120</v>
      </c>
      <c r="K43" s="18">
        <v>-11374</v>
      </c>
      <c r="L43" s="18" t="s">
        <v>121</v>
      </c>
      <c r="M43" s="19" t="s">
        <v>69</v>
      </c>
      <c r="N43" s="19"/>
      <c r="O43" s="20" t="s">
        <v>108</v>
      </c>
      <c r="P43" s="20" t="s">
        <v>71</v>
      </c>
    </row>
    <row r="44" spans="1:16" ht="12.75" customHeight="1" thickBot="1" x14ac:dyDescent="0.25">
      <c r="A44" s="9" t="str">
        <f t="shared" si="6"/>
        <v> VB 5.3 </v>
      </c>
      <c r="B44" s="2" t="str">
        <f t="shared" si="7"/>
        <v>I</v>
      </c>
      <c r="C44" s="9">
        <f t="shared" si="8"/>
        <v>30254.483</v>
      </c>
      <c r="D44" s="5" t="str">
        <f t="shared" si="9"/>
        <v>vis</v>
      </c>
      <c r="E44" s="17">
        <f>VLOOKUP(C44,Active!C$21:E$973,3,FALSE)</f>
        <v>-11088.894477326412</v>
      </c>
      <c r="F44" s="2" t="s">
        <v>65</v>
      </c>
      <c r="G44" s="5" t="str">
        <f t="shared" si="10"/>
        <v>30254.483</v>
      </c>
      <c r="H44" s="9">
        <f t="shared" si="11"/>
        <v>-11089</v>
      </c>
      <c r="I44" s="18" t="s">
        <v>122</v>
      </c>
      <c r="J44" s="19" t="s">
        <v>123</v>
      </c>
      <c r="K44" s="18">
        <v>-11089</v>
      </c>
      <c r="L44" s="18" t="s">
        <v>124</v>
      </c>
      <c r="M44" s="19" t="s">
        <v>69</v>
      </c>
      <c r="N44" s="19"/>
      <c r="O44" s="20" t="s">
        <v>70</v>
      </c>
      <c r="P44" s="20" t="s">
        <v>71</v>
      </c>
    </row>
    <row r="45" spans="1:16" ht="12.75" customHeight="1" thickBot="1" x14ac:dyDescent="0.25">
      <c r="A45" s="9" t="str">
        <f t="shared" si="6"/>
        <v> VB 5.3 </v>
      </c>
      <c r="B45" s="2" t="str">
        <f t="shared" si="7"/>
        <v>II</v>
      </c>
      <c r="C45" s="9">
        <f t="shared" si="8"/>
        <v>30558.385999999999</v>
      </c>
      <c r="D45" s="5" t="str">
        <f t="shared" si="9"/>
        <v>vis</v>
      </c>
      <c r="E45" s="17">
        <f>VLOOKUP(C45,Active!C$21:E$973,3,FALSE)</f>
        <v>-10952.420492002049</v>
      </c>
      <c r="F45" s="2" t="s">
        <v>65</v>
      </c>
      <c r="G45" s="5" t="str">
        <f t="shared" si="10"/>
        <v>30558.386</v>
      </c>
      <c r="H45" s="9">
        <f t="shared" si="11"/>
        <v>-10952.5</v>
      </c>
      <c r="I45" s="18" t="s">
        <v>125</v>
      </c>
      <c r="J45" s="19" t="s">
        <v>126</v>
      </c>
      <c r="K45" s="18">
        <v>-10952.5</v>
      </c>
      <c r="L45" s="18" t="s">
        <v>107</v>
      </c>
      <c r="M45" s="19" t="s">
        <v>69</v>
      </c>
      <c r="N45" s="19"/>
      <c r="O45" s="20" t="s">
        <v>108</v>
      </c>
      <c r="P45" s="20" t="s">
        <v>71</v>
      </c>
    </row>
    <row r="46" spans="1:16" ht="12.75" customHeight="1" thickBot="1" x14ac:dyDescent="0.25">
      <c r="A46" s="9" t="str">
        <f t="shared" si="6"/>
        <v> VB 5.3 </v>
      </c>
      <c r="B46" s="2" t="str">
        <f t="shared" si="7"/>
        <v>I</v>
      </c>
      <c r="C46" s="9">
        <f t="shared" si="8"/>
        <v>30608.5</v>
      </c>
      <c r="D46" s="5" t="str">
        <f t="shared" si="9"/>
        <v>vis</v>
      </c>
      <c r="E46" s="17">
        <f>VLOOKUP(C46,Active!C$21:E$973,3,FALSE)</f>
        <v>-10929.915754304346</v>
      </c>
      <c r="F46" s="2" t="s">
        <v>65</v>
      </c>
      <c r="G46" s="5" t="str">
        <f t="shared" si="10"/>
        <v>30608.500</v>
      </c>
      <c r="H46" s="9">
        <f t="shared" si="11"/>
        <v>-10930</v>
      </c>
      <c r="I46" s="18" t="s">
        <v>127</v>
      </c>
      <c r="J46" s="19" t="s">
        <v>128</v>
      </c>
      <c r="K46" s="18">
        <v>-10930</v>
      </c>
      <c r="L46" s="18" t="s">
        <v>101</v>
      </c>
      <c r="M46" s="19" t="s">
        <v>69</v>
      </c>
      <c r="N46" s="19"/>
      <c r="O46" s="20" t="s">
        <v>108</v>
      </c>
      <c r="P46" s="20" t="s">
        <v>71</v>
      </c>
    </row>
    <row r="47" spans="1:16" ht="12.75" customHeight="1" thickBot="1" x14ac:dyDescent="0.25">
      <c r="A47" s="9" t="str">
        <f t="shared" si="6"/>
        <v> VB 5.3 </v>
      </c>
      <c r="B47" s="2" t="str">
        <f t="shared" si="7"/>
        <v>I</v>
      </c>
      <c r="C47" s="9">
        <f t="shared" si="8"/>
        <v>30795.554</v>
      </c>
      <c r="D47" s="5" t="str">
        <f t="shared" si="9"/>
        <v>vis</v>
      </c>
      <c r="E47" s="17">
        <f>VLOOKUP(C47,Active!C$21:E$973,3,FALSE)</f>
        <v>-10845.915251344968</v>
      </c>
      <c r="F47" s="2" t="s">
        <v>65</v>
      </c>
      <c r="G47" s="5" t="str">
        <f t="shared" si="10"/>
        <v>30795.554</v>
      </c>
      <c r="H47" s="9">
        <f t="shared" si="11"/>
        <v>-10846</v>
      </c>
      <c r="I47" s="18" t="s">
        <v>129</v>
      </c>
      <c r="J47" s="19" t="s">
        <v>130</v>
      </c>
      <c r="K47" s="18">
        <v>-10846</v>
      </c>
      <c r="L47" s="18" t="s">
        <v>118</v>
      </c>
      <c r="M47" s="19" t="s">
        <v>69</v>
      </c>
      <c r="N47" s="19"/>
      <c r="O47" s="20" t="s">
        <v>108</v>
      </c>
      <c r="P47" s="20" t="s">
        <v>71</v>
      </c>
    </row>
    <row r="48" spans="1:16" ht="12.75" customHeight="1" thickBot="1" x14ac:dyDescent="0.25">
      <c r="A48" s="9" t="str">
        <f t="shared" si="6"/>
        <v> VB 5.3 </v>
      </c>
      <c r="B48" s="2" t="str">
        <f t="shared" si="7"/>
        <v>I</v>
      </c>
      <c r="C48" s="9">
        <f t="shared" si="8"/>
        <v>30813.439999999999</v>
      </c>
      <c r="D48" s="5" t="str">
        <f t="shared" si="9"/>
        <v>vis</v>
      </c>
      <c r="E48" s="17">
        <f>VLOOKUP(C48,Active!C$21:E$973,3,FALSE)</f>
        <v>-10837.883169721847</v>
      </c>
      <c r="F48" s="2" t="s">
        <v>65</v>
      </c>
      <c r="G48" s="5" t="str">
        <f t="shared" si="10"/>
        <v>30813.440</v>
      </c>
      <c r="H48" s="9">
        <f t="shared" si="11"/>
        <v>-10838</v>
      </c>
      <c r="I48" s="18" t="s">
        <v>131</v>
      </c>
      <c r="J48" s="19" t="s">
        <v>132</v>
      </c>
      <c r="K48" s="18">
        <v>-10838</v>
      </c>
      <c r="L48" s="18" t="s">
        <v>133</v>
      </c>
      <c r="M48" s="19" t="s">
        <v>69</v>
      </c>
      <c r="N48" s="19"/>
      <c r="O48" s="20" t="s">
        <v>108</v>
      </c>
      <c r="P48" s="20" t="s">
        <v>71</v>
      </c>
    </row>
    <row r="49" spans="1:16" ht="12.75" customHeight="1" thickBot="1" x14ac:dyDescent="0.25">
      <c r="A49" s="9" t="str">
        <f t="shared" si="6"/>
        <v> VB 5.3 </v>
      </c>
      <c r="B49" s="2" t="str">
        <f t="shared" si="7"/>
        <v>I</v>
      </c>
      <c r="C49" s="9">
        <f t="shared" si="8"/>
        <v>35988.400999999998</v>
      </c>
      <c r="D49" s="5" t="str">
        <f t="shared" si="9"/>
        <v>vis</v>
      </c>
      <c r="E49" s="17">
        <f>VLOOKUP(C49,Active!C$21:E$973,3,FALSE)</f>
        <v>-8513.9589189965973</v>
      </c>
      <c r="F49" s="2" t="s">
        <v>65</v>
      </c>
      <c r="G49" s="5" t="str">
        <f t="shared" si="10"/>
        <v>35988.401</v>
      </c>
      <c r="H49" s="9">
        <f t="shared" si="11"/>
        <v>-8514</v>
      </c>
      <c r="I49" s="18" t="s">
        <v>134</v>
      </c>
      <c r="J49" s="19" t="s">
        <v>135</v>
      </c>
      <c r="K49" s="18">
        <v>-8514</v>
      </c>
      <c r="L49" s="18" t="s">
        <v>136</v>
      </c>
      <c r="M49" s="19" t="s">
        <v>69</v>
      </c>
      <c r="N49" s="19"/>
      <c r="O49" s="20" t="s">
        <v>108</v>
      </c>
      <c r="P49" s="20" t="s">
        <v>71</v>
      </c>
    </row>
    <row r="50" spans="1:16" ht="12.75" customHeight="1" thickBot="1" x14ac:dyDescent="0.25">
      <c r="A50" s="9" t="str">
        <f t="shared" si="6"/>
        <v> VB 5.3 </v>
      </c>
      <c r="B50" s="2" t="str">
        <f t="shared" si="7"/>
        <v>I</v>
      </c>
      <c r="C50" s="9">
        <f t="shared" si="8"/>
        <v>36607.398000000001</v>
      </c>
      <c r="D50" s="5" t="str">
        <f t="shared" si="9"/>
        <v>vis</v>
      </c>
      <c r="E50" s="17">
        <f>VLOOKUP(C50,Active!C$21:E$973,3,FALSE)</f>
        <v>-8235.9853962152301</v>
      </c>
      <c r="F50" s="2" t="s">
        <v>65</v>
      </c>
      <c r="G50" s="5" t="str">
        <f t="shared" si="10"/>
        <v>36607.398</v>
      </c>
      <c r="H50" s="9">
        <f t="shared" si="11"/>
        <v>-8236</v>
      </c>
      <c r="I50" s="18" t="s">
        <v>137</v>
      </c>
      <c r="J50" s="19" t="s">
        <v>138</v>
      </c>
      <c r="K50" s="18">
        <v>-8236</v>
      </c>
      <c r="L50" s="18" t="s">
        <v>139</v>
      </c>
      <c r="M50" s="19" t="s">
        <v>69</v>
      </c>
      <c r="N50" s="19"/>
      <c r="O50" s="20" t="s">
        <v>70</v>
      </c>
      <c r="P50" s="20" t="s">
        <v>71</v>
      </c>
    </row>
    <row r="51" spans="1:16" ht="12.75" customHeight="1" thickBot="1" x14ac:dyDescent="0.25">
      <c r="A51" s="9" t="str">
        <f t="shared" si="6"/>
        <v> VB 5.3 </v>
      </c>
      <c r="B51" s="2" t="str">
        <f t="shared" si="7"/>
        <v>I</v>
      </c>
      <c r="C51" s="9">
        <f t="shared" si="8"/>
        <v>36607.440000000002</v>
      </c>
      <c r="D51" s="5" t="str">
        <f t="shared" si="9"/>
        <v>vis</v>
      </c>
      <c r="E51" s="17">
        <f>VLOOKUP(C51,Active!C$21:E$973,3,FALSE)</f>
        <v>-8235.966535238591</v>
      </c>
      <c r="F51" s="2" t="s">
        <v>65</v>
      </c>
      <c r="G51" s="5" t="str">
        <f t="shared" si="10"/>
        <v>36607.440</v>
      </c>
      <c r="H51" s="9">
        <f t="shared" si="11"/>
        <v>-8236</v>
      </c>
      <c r="I51" s="18" t="s">
        <v>140</v>
      </c>
      <c r="J51" s="19" t="s">
        <v>141</v>
      </c>
      <c r="K51" s="18">
        <v>-8236</v>
      </c>
      <c r="L51" s="18" t="s">
        <v>142</v>
      </c>
      <c r="M51" s="19" t="s">
        <v>69</v>
      </c>
      <c r="N51" s="19"/>
      <c r="O51" s="20" t="s">
        <v>70</v>
      </c>
      <c r="P51" s="20" t="s">
        <v>71</v>
      </c>
    </row>
    <row r="52" spans="1:16" ht="12.75" customHeight="1" thickBot="1" x14ac:dyDescent="0.25">
      <c r="A52" s="9" t="str">
        <f t="shared" si="6"/>
        <v> VB 5.3 </v>
      </c>
      <c r="B52" s="2" t="str">
        <f t="shared" si="7"/>
        <v>I</v>
      </c>
      <c r="C52" s="9">
        <f t="shared" si="8"/>
        <v>36607.49</v>
      </c>
      <c r="D52" s="5" t="str">
        <f t="shared" si="9"/>
        <v>vis</v>
      </c>
      <c r="E52" s="17">
        <f>VLOOKUP(C52,Active!C$21:E$973,3,FALSE)</f>
        <v>-8235.9440816949755</v>
      </c>
      <c r="F52" s="2" t="s">
        <v>65</v>
      </c>
      <c r="G52" s="5" t="str">
        <f t="shared" si="10"/>
        <v>36607.490</v>
      </c>
      <c r="H52" s="9">
        <f t="shared" si="11"/>
        <v>-8236</v>
      </c>
      <c r="I52" s="18" t="s">
        <v>143</v>
      </c>
      <c r="J52" s="19" t="s">
        <v>144</v>
      </c>
      <c r="K52" s="18">
        <v>-8236</v>
      </c>
      <c r="L52" s="18" t="s">
        <v>145</v>
      </c>
      <c r="M52" s="19" t="s">
        <v>69</v>
      </c>
      <c r="N52" s="19"/>
      <c r="O52" s="20" t="s">
        <v>70</v>
      </c>
      <c r="P52" s="20" t="s">
        <v>71</v>
      </c>
    </row>
    <row r="53" spans="1:16" ht="12.75" customHeight="1" thickBot="1" x14ac:dyDescent="0.25">
      <c r="A53" s="9" t="str">
        <f t="shared" si="6"/>
        <v>BAVM 23 </v>
      </c>
      <c r="B53" s="2" t="str">
        <f t="shared" si="7"/>
        <v>I</v>
      </c>
      <c r="C53" s="9">
        <f t="shared" si="8"/>
        <v>39248.432999999997</v>
      </c>
      <c r="D53" s="5" t="str">
        <f t="shared" si="9"/>
        <v>vis</v>
      </c>
      <c r="E53" s="17">
        <f>VLOOKUP(C53,Active!C$21:E$973,3,FALSE)</f>
        <v>-7049.9735048185321</v>
      </c>
      <c r="F53" s="2" t="s">
        <v>65</v>
      </c>
      <c r="G53" s="5" t="str">
        <f t="shared" si="10"/>
        <v>39248.433</v>
      </c>
      <c r="H53" s="9">
        <f t="shared" si="11"/>
        <v>-7050</v>
      </c>
      <c r="I53" s="18" t="s">
        <v>146</v>
      </c>
      <c r="J53" s="19" t="s">
        <v>147</v>
      </c>
      <c r="K53" s="18">
        <v>-7050</v>
      </c>
      <c r="L53" s="18" t="s">
        <v>148</v>
      </c>
      <c r="M53" s="19" t="s">
        <v>149</v>
      </c>
      <c r="N53" s="19"/>
      <c r="O53" s="20" t="s">
        <v>150</v>
      </c>
      <c r="P53" s="21" t="s">
        <v>151</v>
      </c>
    </row>
    <row r="54" spans="1:16" ht="12.75" customHeight="1" thickBot="1" x14ac:dyDescent="0.25">
      <c r="A54" s="9" t="str">
        <f t="shared" si="6"/>
        <v>BAVM 23 </v>
      </c>
      <c r="B54" s="2" t="str">
        <f t="shared" si="7"/>
        <v>I</v>
      </c>
      <c r="C54" s="9">
        <f t="shared" si="8"/>
        <v>39248.487000000001</v>
      </c>
      <c r="D54" s="5" t="str">
        <f t="shared" si="9"/>
        <v>vis</v>
      </c>
      <c r="E54" s="17">
        <f>VLOOKUP(C54,Active!C$21:E$973,3,FALSE)</f>
        <v>-7049.949254991423</v>
      </c>
      <c r="F54" s="2" t="s">
        <v>65</v>
      </c>
      <c r="G54" s="5" t="str">
        <f t="shared" si="10"/>
        <v>39248.487</v>
      </c>
      <c r="H54" s="9">
        <f t="shared" si="11"/>
        <v>-7050</v>
      </c>
      <c r="I54" s="18" t="s">
        <v>152</v>
      </c>
      <c r="J54" s="19" t="s">
        <v>153</v>
      </c>
      <c r="K54" s="18">
        <v>-7050</v>
      </c>
      <c r="L54" s="18" t="s">
        <v>154</v>
      </c>
      <c r="M54" s="19" t="s">
        <v>149</v>
      </c>
      <c r="N54" s="19"/>
      <c r="O54" s="20" t="s">
        <v>155</v>
      </c>
      <c r="P54" s="21" t="s">
        <v>151</v>
      </c>
    </row>
    <row r="55" spans="1:16" ht="12.75" customHeight="1" thickBot="1" x14ac:dyDescent="0.25">
      <c r="A55" s="9" t="str">
        <f t="shared" si="6"/>
        <v>BAVM 23 </v>
      </c>
      <c r="B55" s="2" t="str">
        <f t="shared" si="7"/>
        <v>I</v>
      </c>
      <c r="C55" s="9">
        <f t="shared" si="8"/>
        <v>39257.392</v>
      </c>
      <c r="D55" s="5" t="str">
        <f t="shared" si="9"/>
        <v>vis</v>
      </c>
      <c r="E55" s="17">
        <f>VLOOKUP(C55,Active!C$21:E$973,3,FALSE)</f>
        <v>-7045.9502788730124</v>
      </c>
      <c r="F55" s="2" t="s">
        <v>65</v>
      </c>
      <c r="G55" s="5" t="str">
        <f t="shared" si="10"/>
        <v>39257.392</v>
      </c>
      <c r="H55" s="9">
        <f t="shared" si="11"/>
        <v>-7046</v>
      </c>
      <c r="I55" s="18" t="s">
        <v>156</v>
      </c>
      <c r="J55" s="19" t="s">
        <v>157</v>
      </c>
      <c r="K55" s="18">
        <v>-7046</v>
      </c>
      <c r="L55" s="18" t="s">
        <v>158</v>
      </c>
      <c r="M55" s="19" t="s">
        <v>149</v>
      </c>
      <c r="N55" s="19"/>
      <c r="O55" s="20" t="s">
        <v>155</v>
      </c>
      <c r="P55" s="21" t="s">
        <v>151</v>
      </c>
    </row>
    <row r="56" spans="1:16" ht="12.75" customHeight="1" thickBot="1" x14ac:dyDescent="0.25">
      <c r="A56" s="9" t="str">
        <f t="shared" si="6"/>
        <v>BAVM 23 </v>
      </c>
      <c r="B56" s="2" t="str">
        <f t="shared" si="7"/>
        <v>I</v>
      </c>
      <c r="C56" s="9">
        <f t="shared" si="8"/>
        <v>39257.394</v>
      </c>
      <c r="D56" s="5" t="str">
        <f t="shared" si="9"/>
        <v>vis</v>
      </c>
      <c r="E56" s="17">
        <f>VLOOKUP(C56,Active!C$21:E$973,3,FALSE)</f>
        <v>-7045.9493807312674</v>
      </c>
      <c r="F56" s="2" t="s">
        <v>65</v>
      </c>
      <c r="G56" s="5" t="str">
        <f t="shared" si="10"/>
        <v>39257.394</v>
      </c>
      <c r="H56" s="9">
        <f t="shared" si="11"/>
        <v>-7046</v>
      </c>
      <c r="I56" s="18" t="s">
        <v>159</v>
      </c>
      <c r="J56" s="19" t="s">
        <v>160</v>
      </c>
      <c r="K56" s="18">
        <v>-7046</v>
      </c>
      <c r="L56" s="18" t="s">
        <v>154</v>
      </c>
      <c r="M56" s="19" t="s">
        <v>149</v>
      </c>
      <c r="N56" s="19"/>
      <c r="O56" s="20" t="s">
        <v>150</v>
      </c>
      <c r="P56" s="21" t="s">
        <v>151</v>
      </c>
    </row>
    <row r="57" spans="1:16" ht="12.75" customHeight="1" thickBot="1" x14ac:dyDescent="0.25">
      <c r="A57" s="9" t="str">
        <f t="shared" si="6"/>
        <v>BAVM 23 </v>
      </c>
      <c r="B57" s="2" t="str">
        <f t="shared" si="7"/>
        <v>II</v>
      </c>
      <c r="C57" s="9">
        <f t="shared" si="8"/>
        <v>40073.358999999997</v>
      </c>
      <c r="D57" s="5" t="str">
        <f t="shared" si="9"/>
        <v>vis</v>
      </c>
      <c r="E57" s="17">
        <f>VLOOKUP(C57,Active!C$21:E$973,3,FALSE)</f>
        <v>-6679.523266361899</v>
      </c>
      <c r="F57" s="2" t="s">
        <v>65</v>
      </c>
      <c r="G57" s="5" t="str">
        <f t="shared" si="10"/>
        <v>40073.359</v>
      </c>
      <c r="H57" s="9">
        <f t="shared" si="11"/>
        <v>-6679.5</v>
      </c>
      <c r="I57" s="18" t="s">
        <v>161</v>
      </c>
      <c r="J57" s="19" t="s">
        <v>162</v>
      </c>
      <c r="K57" s="18">
        <v>-6679.5</v>
      </c>
      <c r="L57" s="18" t="s">
        <v>163</v>
      </c>
      <c r="M57" s="19" t="s">
        <v>149</v>
      </c>
      <c r="N57" s="19"/>
      <c r="O57" s="20" t="s">
        <v>155</v>
      </c>
      <c r="P57" s="21" t="s">
        <v>151</v>
      </c>
    </row>
    <row r="58" spans="1:16" ht="12.75" customHeight="1" thickBot="1" x14ac:dyDescent="0.25">
      <c r="A58" s="9" t="str">
        <f t="shared" si="6"/>
        <v>BAVM 56 </v>
      </c>
      <c r="B58" s="2" t="str">
        <f t="shared" si="7"/>
        <v>I</v>
      </c>
      <c r="C58" s="9">
        <f t="shared" si="8"/>
        <v>47819.429700000001</v>
      </c>
      <c r="D58" s="5" t="str">
        <f t="shared" si="9"/>
        <v>vis</v>
      </c>
      <c r="E58" s="17">
        <f>VLOOKUP(C58,Active!C$21:E$973,3,FALSE)</f>
        <v>-3200.9885397113376</v>
      </c>
      <c r="F58" s="2" t="s">
        <v>65</v>
      </c>
      <c r="G58" s="5" t="str">
        <f t="shared" si="10"/>
        <v>47819.4297</v>
      </c>
      <c r="H58" s="9">
        <f t="shared" si="11"/>
        <v>-3201</v>
      </c>
      <c r="I58" s="18" t="s">
        <v>176</v>
      </c>
      <c r="J58" s="19" t="s">
        <v>177</v>
      </c>
      <c r="K58" s="18">
        <v>-3201</v>
      </c>
      <c r="L58" s="18" t="s">
        <v>178</v>
      </c>
      <c r="M58" s="19" t="s">
        <v>179</v>
      </c>
      <c r="N58" s="19" t="s">
        <v>180</v>
      </c>
      <c r="O58" s="20" t="s">
        <v>181</v>
      </c>
      <c r="P58" s="21" t="s">
        <v>182</v>
      </c>
    </row>
    <row r="59" spans="1:16" ht="12.75" customHeight="1" thickBot="1" x14ac:dyDescent="0.25">
      <c r="A59" s="9" t="str">
        <f t="shared" si="6"/>
        <v>BAVM 59 </v>
      </c>
      <c r="B59" s="2" t="str">
        <f t="shared" si="7"/>
        <v>I</v>
      </c>
      <c r="C59" s="9">
        <f t="shared" si="8"/>
        <v>48329.375599999999</v>
      </c>
      <c r="D59" s="5" t="str">
        <f t="shared" si="9"/>
        <v>vis</v>
      </c>
      <c r="E59" s="17">
        <f>VLOOKUP(C59,Active!C$21:E$973,3,FALSE)</f>
        <v>-2971.9866895393443</v>
      </c>
      <c r="F59" s="2" t="s">
        <v>65</v>
      </c>
      <c r="G59" s="5" t="str">
        <f t="shared" si="10"/>
        <v>48329.3756</v>
      </c>
      <c r="H59" s="9">
        <f t="shared" si="11"/>
        <v>-2972</v>
      </c>
      <c r="I59" s="18" t="s">
        <v>183</v>
      </c>
      <c r="J59" s="19" t="s">
        <v>184</v>
      </c>
      <c r="K59" s="18">
        <v>-2972</v>
      </c>
      <c r="L59" s="18" t="s">
        <v>185</v>
      </c>
      <c r="M59" s="19" t="s">
        <v>179</v>
      </c>
      <c r="N59" s="19" t="s">
        <v>180</v>
      </c>
      <c r="O59" s="20" t="s">
        <v>181</v>
      </c>
      <c r="P59" s="21" t="s">
        <v>186</v>
      </c>
    </row>
    <row r="60" spans="1:16" ht="12.75" customHeight="1" thickBot="1" x14ac:dyDescent="0.25">
      <c r="A60" s="9" t="str">
        <f t="shared" si="6"/>
        <v>BAVM 62 </v>
      </c>
      <c r="B60" s="2" t="str">
        <f t="shared" si="7"/>
        <v>I</v>
      </c>
      <c r="C60" s="9">
        <f t="shared" si="8"/>
        <v>49086.484100000001</v>
      </c>
      <c r="D60" s="5" t="str">
        <f t="shared" si="9"/>
        <v>vis</v>
      </c>
      <c r="E60" s="17">
        <f>VLOOKUP(C60,Active!C$21:E$973,3,FALSE)</f>
        <v>-2631.9913149693284</v>
      </c>
      <c r="F60" s="2" t="s">
        <v>65</v>
      </c>
      <c r="G60" s="5" t="str">
        <f t="shared" si="10"/>
        <v>49086.4841</v>
      </c>
      <c r="H60" s="9">
        <f t="shared" si="11"/>
        <v>-2632</v>
      </c>
      <c r="I60" s="18" t="s">
        <v>187</v>
      </c>
      <c r="J60" s="19" t="s">
        <v>188</v>
      </c>
      <c r="K60" s="18">
        <v>-2632</v>
      </c>
      <c r="L60" s="18" t="s">
        <v>189</v>
      </c>
      <c r="M60" s="19" t="s">
        <v>179</v>
      </c>
      <c r="N60" s="19" t="s">
        <v>190</v>
      </c>
      <c r="O60" s="20" t="s">
        <v>181</v>
      </c>
      <c r="P60" s="21" t="s">
        <v>191</v>
      </c>
    </row>
    <row r="61" spans="1:16" ht="12.75" customHeight="1" thickBot="1" x14ac:dyDescent="0.25">
      <c r="A61" s="9" t="str">
        <f t="shared" si="6"/>
        <v>BAVM 68 </v>
      </c>
      <c r="B61" s="2" t="str">
        <f t="shared" si="7"/>
        <v>I</v>
      </c>
      <c r="C61" s="9">
        <f t="shared" si="8"/>
        <v>49371.5147</v>
      </c>
      <c r="D61" s="5" t="str">
        <f t="shared" si="9"/>
        <v>vis</v>
      </c>
      <c r="E61" s="17">
        <f>VLOOKUP(C61,Active!C$21:E$973,3,FALSE)</f>
        <v>-2503.9923747765883</v>
      </c>
      <c r="F61" s="2" t="s">
        <v>65</v>
      </c>
      <c r="G61" s="5" t="str">
        <f t="shared" si="10"/>
        <v>49371.5147</v>
      </c>
      <c r="H61" s="9">
        <f t="shared" si="11"/>
        <v>-2504</v>
      </c>
      <c r="I61" s="18" t="s">
        <v>192</v>
      </c>
      <c r="J61" s="19" t="s">
        <v>193</v>
      </c>
      <c r="K61" s="18">
        <v>-2504</v>
      </c>
      <c r="L61" s="18" t="s">
        <v>194</v>
      </c>
      <c r="M61" s="19" t="s">
        <v>179</v>
      </c>
      <c r="N61" s="19" t="s">
        <v>190</v>
      </c>
      <c r="O61" s="20" t="s">
        <v>181</v>
      </c>
      <c r="P61" s="21" t="s">
        <v>195</v>
      </c>
    </row>
    <row r="62" spans="1:16" ht="12.75" customHeight="1" thickBot="1" x14ac:dyDescent="0.25">
      <c r="A62" s="9" t="str">
        <f t="shared" si="6"/>
        <v> BBS 125 </v>
      </c>
      <c r="B62" s="2" t="str">
        <f t="shared" si="7"/>
        <v>I</v>
      </c>
      <c r="C62" s="9">
        <f t="shared" si="8"/>
        <v>52001.373299999999</v>
      </c>
      <c r="D62" s="5" t="str">
        <f t="shared" si="9"/>
        <v>vis</v>
      </c>
      <c r="E62" s="17">
        <f>VLOOKUP(C62,Active!C$21:E$973,3,FALSE)</f>
        <v>-1322.9994790777891</v>
      </c>
      <c r="F62" s="2" t="s">
        <v>65</v>
      </c>
      <c r="G62" s="5" t="str">
        <f t="shared" si="10"/>
        <v>52001.3733</v>
      </c>
      <c r="H62" s="9">
        <f t="shared" si="11"/>
        <v>-1323</v>
      </c>
      <c r="I62" s="18" t="s">
        <v>201</v>
      </c>
      <c r="J62" s="19" t="s">
        <v>202</v>
      </c>
      <c r="K62" s="18">
        <v>-1323</v>
      </c>
      <c r="L62" s="18" t="s">
        <v>203</v>
      </c>
      <c r="M62" s="19" t="s">
        <v>179</v>
      </c>
      <c r="N62" s="19" t="s">
        <v>204</v>
      </c>
      <c r="O62" s="20" t="s">
        <v>205</v>
      </c>
      <c r="P62" s="20" t="s">
        <v>206</v>
      </c>
    </row>
    <row r="63" spans="1:16" ht="12.75" customHeight="1" thickBot="1" x14ac:dyDescent="0.25">
      <c r="A63" s="9" t="str">
        <f t="shared" si="6"/>
        <v>VSB 51 </v>
      </c>
      <c r="B63" s="2" t="str">
        <f t="shared" si="7"/>
        <v>I</v>
      </c>
      <c r="C63" s="9">
        <f t="shared" si="8"/>
        <v>55207.991600000001</v>
      </c>
      <c r="D63" s="5" t="str">
        <f t="shared" si="9"/>
        <v>vis</v>
      </c>
      <c r="E63" s="17">
        <f>VLOOKUP(C63,Active!C$21:E$973,3,FALSE)</f>
        <v>116.99939824503079</v>
      </c>
      <c r="F63" s="2" t="s">
        <v>65</v>
      </c>
      <c r="G63" s="5" t="str">
        <f t="shared" si="10"/>
        <v>55207.9916</v>
      </c>
      <c r="H63" s="9">
        <f t="shared" si="11"/>
        <v>117</v>
      </c>
      <c r="I63" s="18" t="s">
        <v>223</v>
      </c>
      <c r="J63" s="19" t="s">
        <v>224</v>
      </c>
      <c r="K63" s="18" t="s">
        <v>225</v>
      </c>
      <c r="L63" s="18" t="s">
        <v>209</v>
      </c>
      <c r="M63" s="19" t="s">
        <v>210</v>
      </c>
      <c r="N63" s="19" t="s">
        <v>226</v>
      </c>
      <c r="O63" s="20" t="s">
        <v>227</v>
      </c>
      <c r="P63" s="21" t="s">
        <v>228</v>
      </c>
    </row>
    <row r="64" spans="1:16" ht="12.75" customHeight="1" thickBot="1" x14ac:dyDescent="0.25">
      <c r="A64" s="9" t="str">
        <f t="shared" si="6"/>
        <v>VSB 55 </v>
      </c>
      <c r="B64" s="2" t="str">
        <f t="shared" si="7"/>
        <v>I</v>
      </c>
      <c r="C64" s="9">
        <f t="shared" si="8"/>
        <v>55936.1613</v>
      </c>
      <c r="D64" s="5" t="str">
        <f t="shared" si="9"/>
        <v>vis</v>
      </c>
      <c r="E64" s="17">
        <f>VLOOKUP(C64,Active!C$21:E$973,3,FALSE)</f>
        <v>443.99920065384629</v>
      </c>
      <c r="F64" s="2" t="s">
        <v>65</v>
      </c>
      <c r="G64" s="5" t="str">
        <f t="shared" si="10"/>
        <v>55936.1613</v>
      </c>
      <c r="H64" s="9">
        <f t="shared" si="11"/>
        <v>444</v>
      </c>
      <c r="I64" s="18" t="s">
        <v>251</v>
      </c>
      <c r="J64" s="19" t="s">
        <v>252</v>
      </c>
      <c r="K64" s="18" t="s">
        <v>253</v>
      </c>
      <c r="L64" s="18" t="s">
        <v>254</v>
      </c>
      <c r="M64" s="19" t="s">
        <v>210</v>
      </c>
      <c r="N64" s="19" t="s">
        <v>226</v>
      </c>
      <c r="O64" s="20" t="s">
        <v>227</v>
      </c>
      <c r="P64" s="21" t="s">
        <v>255</v>
      </c>
    </row>
    <row r="65" spans="1:16" ht="12.75" customHeight="1" thickBot="1" x14ac:dyDescent="0.25">
      <c r="A65" s="9" t="str">
        <f t="shared" si="6"/>
        <v>VSB 59 </v>
      </c>
      <c r="B65" s="2" t="str">
        <f t="shared" si="7"/>
        <v>I</v>
      </c>
      <c r="C65" s="9">
        <f t="shared" si="8"/>
        <v>56662.105499999998</v>
      </c>
      <c r="D65" s="5" t="str">
        <f t="shared" si="9"/>
        <v>vis</v>
      </c>
      <c r="E65" s="17">
        <f>VLOOKUP(C65,Active!C$21:E$973,3,FALSE)</f>
        <v>769.99959583621308</v>
      </c>
      <c r="F65" s="2" t="s">
        <v>65</v>
      </c>
      <c r="G65" s="5" t="str">
        <f t="shared" si="10"/>
        <v>56662.1055</v>
      </c>
      <c r="H65" s="9">
        <f t="shared" si="11"/>
        <v>770</v>
      </c>
      <c r="I65" s="18" t="s">
        <v>267</v>
      </c>
      <c r="J65" s="19" t="s">
        <v>268</v>
      </c>
      <c r="K65" s="18" t="s">
        <v>269</v>
      </c>
      <c r="L65" s="18" t="s">
        <v>270</v>
      </c>
      <c r="M65" s="19" t="s">
        <v>210</v>
      </c>
      <c r="N65" s="19" t="s">
        <v>65</v>
      </c>
      <c r="O65" s="20" t="s">
        <v>271</v>
      </c>
      <c r="P65" s="21" t="s">
        <v>272</v>
      </c>
    </row>
    <row r="66" spans="1:16" x14ac:dyDescent="0.2">
      <c r="B66" s="2"/>
      <c r="F66" s="2"/>
    </row>
    <row r="67" spans="1:16" x14ac:dyDescent="0.2">
      <c r="B67" s="2"/>
      <c r="F67" s="2"/>
    </row>
    <row r="68" spans="1:16" x14ac:dyDescent="0.2">
      <c r="B68" s="2"/>
      <c r="F68" s="2"/>
    </row>
    <row r="69" spans="1:16" x14ac:dyDescent="0.2">
      <c r="B69" s="2"/>
      <c r="F69" s="2"/>
    </row>
    <row r="70" spans="1:16" x14ac:dyDescent="0.2">
      <c r="B70" s="2"/>
      <c r="F70" s="2"/>
    </row>
    <row r="71" spans="1:16" x14ac:dyDescent="0.2">
      <c r="B71" s="2"/>
      <c r="F71" s="2"/>
    </row>
    <row r="72" spans="1:16" x14ac:dyDescent="0.2">
      <c r="B72" s="2"/>
      <c r="F72" s="2"/>
    </row>
    <row r="73" spans="1:16" x14ac:dyDescent="0.2">
      <c r="B73" s="2"/>
      <c r="F73" s="2"/>
    </row>
    <row r="74" spans="1:16" x14ac:dyDescent="0.2">
      <c r="B74" s="2"/>
      <c r="F74" s="2"/>
    </row>
    <row r="75" spans="1:16" x14ac:dyDescent="0.2">
      <c r="B75" s="2"/>
      <c r="F75" s="2"/>
    </row>
    <row r="76" spans="1:16" x14ac:dyDescent="0.2">
      <c r="B76" s="2"/>
      <c r="F76" s="2"/>
    </row>
    <row r="77" spans="1:16" x14ac:dyDescent="0.2">
      <c r="B77" s="2"/>
      <c r="F77" s="2"/>
    </row>
    <row r="78" spans="1:16" x14ac:dyDescent="0.2">
      <c r="B78" s="2"/>
      <c r="F78" s="2"/>
    </row>
    <row r="79" spans="1:16" x14ac:dyDescent="0.2">
      <c r="B79" s="2"/>
      <c r="F79" s="2"/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8" type="noConversion"/>
  <hyperlinks>
    <hyperlink ref="A3" r:id="rId1" xr:uid="{00000000-0004-0000-0100-000000000000}"/>
    <hyperlink ref="P53" r:id="rId2" display="http://www.bav-astro.de/sfs/BAVM_link.php?BAVMnr=23" xr:uid="{00000000-0004-0000-0100-000001000000}"/>
    <hyperlink ref="P54" r:id="rId3" display="http://www.bav-astro.de/sfs/BAVM_link.php?BAVMnr=23" xr:uid="{00000000-0004-0000-0100-000002000000}"/>
    <hyperlink ref="P55" r:id="rId4" display="http://www.bav-astro.de/sfs/BAVM_link.php?BAVMnr=23" xr:uid="{00000000-0004-0000-0100-000003000000}"/>
    <hyperlink ref="P56" r:id="rId5" display="http://www.bav-astro.de/sfs/BAVM_link.php?BAVMnr=23" xr:uid="{00000000-0004-0000-0100-000004000000}"/>
    <hyperlink ref="P57" r:id="rId6" display="http://www.bav-astro.de/sfs/BAVM_link.php?BAVMnr=23" xr:uid="{00000000-0004-0000-0100-000005000000}"/>
    <hyperlink ref="P58" r:id="rId7" display="http://www.bav-astro.de/sfs/BAVM_link.php?BAVMnr=56" xr:uid="{00000000-0004-0000-0100-000006000000}"/>
    <hyperlink ref="P59" r:id="rId8" display="http://www.bav-astro.de/sfs/BAVM_link.php?BAVMnr=59" xr:uid="{00000000-0004-0000-0100-000007000000}"/>
    <hyperlink ref="P60" r:id="rId9" display="http://www.bav-astro.de/sfs/BAVM_link.php?BAVMnr=62" xr:uid="{00000000-0004-0000-0100-000008000000}"/>
    <hyperlink ref="P61" r:id="rId10" display="http://www.bav-astro.de/sfs/BAVM_link.php?BAVMnr=68" xr:uid="{00000000-0004-0000-0100-000009000000}"/>
    <hyperlink ref="P14" r:id="rId11" display="http://www.bav-astro.de/sfs/BAVM_link.php?BAVMnr=128" xr:uid="{00000000-0004-0000-0100-00000A000000}"/>
    <hyperlink ref="P15" r:id="rId12" display="http://www.bav-astro.de/sfs/BAVM_link.php?BAVMnr=178" xr:uid="{00000000-0004-0000-0100-00000B000000}"/>
    <hyperlink ref="P16" r:id="rId13" display="http://www.konkoly.hu/cgi-bin/IBVS?5837" xr:uid="{00000000-0004-0000-0100-00000C000000}"/>
    <hyperlink ref="P17" r:id="rId14" display="http://www.bav-astro.de/sfs/BAVM_link.php?BAVMnr=209" xr:uid="{00000000-0004-0000-0100-00000D000000}"/>
    <hyperlink ref="P63" r:id="rId15" display="http://vsolj.cetus-net.org/vsoljno51.pdf" xr:uid="{00000000-0004-0000-0100-00000E000000}"/>
    <hyperlink ref="P18" r:id="rId16" display="http://www.konkoly.hu/cgi-bin/IBVS?5974" xr:uid="{00000000-0004-0000-0100-00000F000000}"/>
    <hyperlink ref="P19" r:id="rId17" display="http://www.bav-astro.de/sfs/BAVM_link.php?BAVMnr=220" xr:uid="{00000000-0004-0000-0100-000010000000}"/>
    <hyperlink ref="P20" r:id="rId18" display="http://www.bav-astro.de/sfs/BAVM_link.php?BAVMnr=220" xr:uid="{00000000-0004-0000-0100-000011000000}"/>
    <hyperlink ref="P21" r:id="rId19" display="http://www.konkoly.hu/cgi-bin/IBVS?6075" xr:uid="{00000000-0004-0000-0100-000012000000}"/>
    <hyperlink ref="P64" r:id="rId20" display="http://vsolj.cetus-net.org/vsoljno55.pdf" xr:uid="{00000000-0004-0000-0100-000013000000}"/>
    <hyperlink ref="P22" r:id="rId21" display="http://www.konkoly.hu/cgi-bin/IBVS?6029" xr:uid="{00000000-0004-0000-0100-000014000000}"/>
    <hyperlink ref="P23" r:id="rId22" display="http://www.bav-astro.de/sfs/BAVM_link.php?BAVMnr=234" xr:uid="{00000000-0004-0000-0100-000015000000}"/>
    <hyperlink ref="P65" r:id="rId23" display="http://vsolj.cetus-net.org/vsoljno59.pdf" xr:uid="{00000000-0004-0000-0100-000016000000}"/>
    <hyperlink ref="P24" r:id="rId24" display="http://www.bav-astro.de/sfs/BAVM_link.php?BAVMnr=238" xr:uid="{00000000-0004-0000-0100-000017000000}"/>
    <hyperlink ref="P25" r:id="rId25" display="http://www.bav-astro.de/sfs/BAVM_link.php?BAVMnr=238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2024-08-18T07:47:26Z</dcterms:modified>
</cp:coreProperties>
</file>