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386F57F-5095-491D-A432-B99F2992D0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 VSX" sheetId="1" r:id="rId1"/>
    <sheet name="Active 2 IBVS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41" i="3" l="1"/>
  <c r="E41" i="3"/>
  <c r="F41" i="3" s="1"/>
  <c r="G41" i="3" s="1"/>
  <c r="K41" i="3" s="1"/>
  <c r="Q40" i="3"/>
  <c r="E40" i="3"/>
  <c r="F40" i="3" s="1"/>
  <c r="G40" i="3" s="1"/>
  <c r="K40" i="3" s="1"/>
  <c r="Q39" i="3"/>
  <c r="E39" i="3"/>
  <c r="F39" i="3" s="1"/>
  <c r="G39" i="3" s="1"/>
  <c r="K39" i="3" s="1"/>
  <c r="C38" i="3"/>
  <c r="Q38" i="3" s="1"/>
  <c r="A38" i="3"/>
  <c r="Q37" i="3"/>
  <c r="E37" i="3"/>
  <c r="F37" i="3" s="1"/>
  <c r="G37" i="3" s="1"/>
  <c r="K37" i="3" s="1"/>
  <c r="Q36" i="3"/>
  <c r="E36" i="3"/>
  <c r="F36" i="3" s="1"/>
  <c r="G36" i="3" s="1"/>
  <c r="K36" i="3" s="1"/>
  <c r="Q35" i="3"/>
  <c r="E35" i="3"/>
  <c r="F35" i="3" s="1"/>
  <c r="G35" i="3" s="1"/>
  <c r="K35" i="3" s="1"/>
  <c r="Q34" i="3"/>
  <c r="E34" i="3"/>
  <c r="F34" i="3" s="1"/>
  <c r="G34" i="3" s="1"/>
  <c r="K34" i="3" s="1"/>
  <c r="Q33" i="3"/>
  <c r="E33" i="3"/>
  <c r="F33" i="3" s="1"/>
  <c r="G33" i="3" s="1"/>
  <c r="J33" i="3" s="1"/>
  <c r="Q32" i="3"/>
  <c r="E32" i="3"/>
  <c r="F32" i="3" s="1"/>
  <c r="G32" i="3" s="1"/>
  <c r="J32" i="3" s="1"/>
  <c r="Q31" i="3"/>
  <c r="E31" i="3"/>
  <c r="F31" i="3" s="1"/>
  <c r="G31" i="3" s="1"/>
  <c r="J31" i="3" s="1"/>
  <c r="Q30" i="3"/>
  <c r="E30" i="3"/>
  <c r="F30" i="3" s="1"/>
  <c r="G30" i="3" s="1"/>
  <c r="J30" i="3" s="1"/>
  <c r="Q29" i="3"/>
  <c r="E29" i="3"/>
  <c r="F29" i="3" s="1"/>
  <c r="G29" i="3" s="1"/>
  <c r="J29" i="3" s="1"/>
  <c r="Q28" i="3"/>
  <c r="E28" i="3"/>
  <c r="F28" i="3" s="1"/>
  <c r="G28" i="3" s="1"/>
  <c r="J28" i="3" s="1"/>
  <c r="Q27" i="3"/>
  <c r="E27" i="3"/>
  <c r="F27" i="3" s="1"/>
  <c r="G27" i="3" s="1"/>
  <c r="J27" i="3" s="1"/>
  <c r="Q26" i="3"/>
  <c r="E26" i="3"/>
  <c r="F26" i="3" s="1"/>
  <c r="G26" i="3" s="1"/>
  <c r="J26" i="3" s="1"/>
  <c r="Q25" i="3"/>
  <c r="E25" i="3"/>
  <c r="F25" i="3" s="1"/>
  <c r="G25" i="3" s="1"/>
  <c r="K25" i="3" s="1"/>
  <c r="Q24" i="3"/>
  <c r="E24" i="3"/>
  <c r="F24" i="3" s="1"/>
  <c r="G24" i="3" s="1"/>
  <c r="K24" i="3" s="1"/>
  <c r="Q23" i="3"/>
  <c r="E23" i="3"/>
  <c r="F23" i="3" s="1"/>
  <c r="G23" i="3" s="1"/>
  <c r="K23" i="3" s="1"/>
  <c r="Q22" i="3"/>
  <c r="F22" i="3"/>
  <c r="G22" i="3" s="1"/>
  <c r="K22" i="3" s="1"/>
  <c r="E22" i="3"/>
  <c r="Q21" i="3"/>
  <c r="E21" i="3"/>
  <c r="F21" i="3" s="1"/>
  <c r="G21" i="3" s="1"/>
  <c r="I21" i="3" s="1"/>
  <c r="F14" i="3"/>
  <c r="F15" i="3" s="1"/>
  <c r="D9" i="3"/>
  <c r="C9" i="3"/>
  <c r="C38" i="1"/>
  <c r="C17" i="1" s="1"/>
  <c r="A38" i="1"/>
  <c r="E37" i="1"/>
  <c r="F37" i="1" s="1"/>
  <c r="G37" i="1" s="1"/>
  <c r="K37" i="1" s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Q37" i="1"/>
  <c r="H25" i="2"/>
  <c r="B25" i="2"/>
  <c r="G25" i="2"/>
  <c r="C25" i="2"/>
  <c r="D25" i="2"/>
  <c r="A25" i="2"/>
  <c r="H24" i="2"/>
  <c r="G24" i="2"/>
  <c r="C24" i="2"/>
  <c r="D24" i="2"/>
  <c r="B24" i="2"/>
  <c r="A24" i="2"/>
  <c r="H23" i="2"/>
  <c r="G23" i="2"/>
  <c r="D23" i="2"/>
  <c r="C23" i="2"/>
  <c r="B23" i="2"/>
  <c r="A23" i="2"/>
  <c r="H22" i="2"/>
  <c r="B22" i="2"/>
  <c r="G22" i="2"/>
  <c r="D22" i="2"/>
  <c r="C22" i="2"/>
  <c r="A22" i="2"/>
  <c r="H21" i="2"/>
  <c r="B21" i="2"/>
  <c r="G21" i="2"/>
  <c r="C21" i="2"/>
  <c r="D21" i="2"/>
  <c r="A21" i="2"/>
  <c r="H20" i="2"/>
  <c r="G20" i="2"/>
  <c r="C20" i="2"/>
  <c r="D20" i="2"/>
  <c r="B20" i="2"/>
  <c r="A20" i="2"/>
  <c r="H19" i="2"/>
  <c r="G19" i="2"/>
  <c r="D19" i="2"/>
  <c r="C19" i="2"/>
  <c r="B19" i="2"/>
  <c r="A19" i="2"/>
  <c r="H18" i="2"/>
  <c r="B18" i="2"/>
  <c r="G18" i="2"/>
  <c r="D18" i="2"/>
  <c r="C18" i="2"/>
  <c r="A18" i="2"/>
  <c r="H17" i="2"/>
  <c r="B17" i="2"/>
  <c r="G17" i="2"/>
  <c r="C17" i="2"/>
  <c r="D17" i="2"/>
  <c r="A17" i="2"/>
  <c r="H16" i="2"/>
  <c r="G16" i="2"/>
  <c r="C16" i="2"/>
  <c r="D16" i="2"/>
  <c r="B16" i="2"/>
  <c r="A16" i="2"/>
  <c r="H15" i="2"/>
  <c r="G15" i="2"/>
  <c r="D15" i="2"/>
  <c r="C15" i="2"/>
  <c r="B15" i="2"/>
  <c r="A15" i="2"/>
  <c r="H14" i="2"/>
  <c r="B14" i="2"/>
  <c r="G14" i="2"/>
  <c r="D14" i="2"/>
  <c r="C14" i="2"/>
  <c r="A14" i="2"/>
  <c r="H13" i="2"/>
  <c r="B13" i="2"/>
  <c r="G13" i="2"/>
  <c r="C13" i="2"/>
  <c r="D13" i="2"/>
  <c r="A13" i="2"/>
  <c r="H12" i="2"/>
  <c r="G12" i="2"/>
  <c r="C12" i="2"/>
  <c r="D12" i="2"/>
  <c r="B12" i="2"/>
  <c r="A12" i="2"/>
  <c r="H11" i="2"/>
  <c r="G11" i="2"/>
  <c r="D11" i="2"/>
  <c r="C11" i="2"/>
  <c r="B11" i="2"/>
  <c r="A11" i="2"/>
  <c r="Q30" i="1"/>
  <c r="C9" i="1"/>
  <c r="D9" i="1"/>
  <c r="Q29" i="1"/>
  <c r="Q28" i="1"/>
  <c r="Q27" i="1"/>
  <c r="Q26" i="1"/>
  <c r="Q36" i="1"/>
  <c r="Q35" i="1"/>
  <c r="Q31" i="1"/>
  <c r="Q32" i="1"/>
  <c r="Q33" i="1"/>
  <c r="Q34" i="1"/>
  <c r="Q25" i="1"/>
  <c r="F14" i="1"/>
  <c r="Q24" i="1"/>
  <c r="Q22" i="1"/>
  <c r="Q23" i="1"/>
  <c r="Q21" i="1"/>
  <c r="E22" i="1"/>
  <c r="F22" i="1" s="1"/>
  <c r="G22" i="1" s="1"/>
  <c r="K22" i="1" s="1"/>
  <c r="E32" i="1"/>
  <c r="F32" i="1" s="1"/>
  <c r="G32" i="1" s="1"/>
  <c r="J32" i="1" s="1"/>
  <c r="E30" i="1"/>
  <c r="F30" i="1" s="1"/>
  <c r="G30" i="1" s="1"/>
  <c r="J30" i="1" s="1"/>
  <c r="E28" i="1"/>
  <c r="F28" i="1" s="1"/>
  <c r="G28" i="1" s="1"/>
  <c r="J28" i="1" s="1"/>
  <c r="E26" i="1"/>
  <c r="F26" i="1" s="1"/>
  <c r="G26" i="1" s="1"/>
  <c r="J26" i="1" s="1"/>
  <c r="E36" i="1"/>
  <c r="F36" i="1" s="1"/>
  <c r="G36" i="1" s="1"/>
  <c r="K36" i="1" s="1"/>
  <c r="E34" i="1"/>
  <c r="F34" i="1" s="1"/>
  <c r="G34" i="1" s="1"/>
  <c r="K34" i="1" s="1"/>
  <c r="E23" i="1"/>
  <c r="F23" i="1" s="1"/>
  <c r="G23" i="1" s="1"/>
  <c r="K23" i="1" s="1"/>
  <c r="E33" i="1"/>
  <c r="F33" i="1" s="1"/>
  <c r="G33" i="1" s="1"/>
  <c r="J33" i="1" s="1"/>
  <c r="E31" i="1"/>
  <c r="F31" i="1" s="1"/>
  <c r="G31" i="1" s="1"/>
  <c r="J31" i="1" s="1"/>
  <c r="E29" i="1"/>
  <c r="F29" i="1" s="1"/>
  <c r="G29" i="1" s="1"/>
  <c r="J29" i="1" s="1"/>
  <c r="E27" i="1"/>
  <c r="F27" i="1" s="1"/>
  <c r="G27" i="1" s="1"/>
  <c r="J27" i="1" s="1"/>
  <c r="E25" i="1"/>
  <c r="F25" i="1" s="1"/>
  <c r="G25" i="1" s="1"/>
  <c r="K25" i="1" s="1"/>
  <c r="E35" i="1"/>
  <c r="F35" i="1" s="1"/>
  <c r="G35" i="1" s="1"/>
  <c r="K35" i="1" s="1"/>
  <c r="E24" i="1"/>
  <c r="F24" i="1" s="1"/>
  <c r="G24" i="1" s="1"/>
  <c r="K24" i="1" s="1"/>
  <c r="E21" i="1"/>
  <c r="F21" i="1" s="1"/>
  <c r="G21" i="1" s="1"/>
  <c r="I21" i="1" s="1"/>
  <c r="C17" i="3" l="1"/>
  <c r="E38" i="3"/>
  <c r="F38" i="3" s="1"/>
  <c r="G38" i="3" s="1"/>
  <c r="Q38" i="1"/>
  <c r="E38" i="1"/>
  <c r="F38" i="1" s="1"/>
  <c r="G38" i="1" s="1"/>
  <c r="F15" i="1"/>
  <c r="C12" i="1"/>
  <c r="C11" i="1"/>
  <c r="C11" i="3"/>
  <c r="C12" i="3"/>
  <c r="C15" i="3" l="1"/>
  <c r="O41" i="3"/>
  <c r="O36" i="3"/>
  <c r="O32" i="3"/>
  <c r="O28" i="3"/>
  <c r="O24" i="3"/>
  <c r="O27" i="3"/>
  <c r="O38" i="3"/>
  <c r="O37" i="3"/>
  <c r="O33" i="3"/>
  <c r="O29" i="3"/>
  <c r="O25" i="3"/>
  <c r="O21" i="3"/>
  <c r="O23" i="3"/>
  <c r="O39" i="3"/>
  <c r="O34" i="3"/>
  <c r="O30" i="3"/>
  <c r="O26" i="3"/>
  <c r="O22" i="3"/>
  <c r="O40" i="3"/>
  <c r="O35" i="3"/>
  <c r="O31" i="3"/>
  <c r="C16" i="3"/>
  <c r="D18" i="3" s="1"/>
  <c r="K38" i="3"/>
  <c r="C16" i="1"/>
  <c r="D18" i="1" s="1"/>
  <c r="O29" i="1"/>
  <c r="O26" i="1"/>
  <c r="O30" i="1"/>
  <c r="O25" i="1"/>
  <c r="O32" i="1"/>
  <c r="O37" i="1"/>
  <c r="O31" i="1"/>
  <c r="O39" i="1"/>
  <c r="O21" i="1"/>
  <c r="O35" i="1"/>
  <c r="O24" i="1"/>
  <c r="O28" i="1"/>
  <c r="O38" i="1"/>
  <c r="O22" i="1"/>
  <c r="O41" i="1"/>
  <c r="O36" i="1"/>
  <c r="O33" i="1"/>
  <c r="O40" i="1"/>
  <c r="O27" i="1"/>
  <c r="C15" i="1"/>
  <c r="F16" i="1" s="1"/>
  <c r="F17" i="1" s="1"/>
  <c r="O23" i="1"/>
  <c r="O34" i="1"/>
  <c r="K38" i="1"/>
  <c r="C18" i="3" l="1"/>
  <c r="F16" i="3"/>
  <c r="F17" i="3" s="1"/>
  <c r="C18" i="1"/>
  <c r="F18" i="1"/>
  <c r="F18" i="3" l="1"/>
</calcChain>
</file>

<file path=xl/sharedStrings.xml><?xml version="1.0" encoding="utf-8"?>
<sst xmlns="http://schemas.openxmlformats.org/spreadsheetml/2006/main" count="318" uniqueCount="139">
  <si>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</si>
  <si>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</si>
  <si>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</si>
  <si>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</si>
  <si>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</si>
  <si>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</si>
  <si>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</si>
  <si>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</si>
  <si>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</si>
  <si>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</si>
  <si>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</si>
  <si>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</si>
  <si>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</si>
  <si>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</si>
  <si>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</si>
  <si>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</si>
  <si>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</si>
  <si>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</si>
  <si>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</si>
  <si>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</si>
  <si>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</si>
  <si>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</si>
  <si>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</si>
  <si>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</si>
  <si>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</si>
  <si>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</si>
  <si>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</si>
  <si>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</si>
  <si>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</si>
  <si>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</si>
  <si>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</si>
  <si>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</si>
  <si>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</si>
  <si>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EW</t>
  </si>
  <si>
    <t>IBVS 5699 Eph.</t>
  </si>
  <si>
    <t>IBVS 5699</t>
  </si>
  <si>
    <t>NO Cam / GSC 4510-2644 / GSC 4510-0423</t>
  </si>
  <si>
    <t>IBVS 5894</t>
  </si>
  <si>
    <t>II</t>
  </si>
  <si>
    <t>IBVS 5920</t>
  </si>
  <si>
    <t>IBVS 5929</t>
  </si>
  <si>
    <t>Add cycle</t>
  </si>
  <si>
    <t>Old Cycle</t>
  </si>
  <si>
    <t>IBVS 5960</t>
  </si>
  <si>
    <t>I</t>
  </si>
  <si>
    <t>IBVS 6010</t>
  </si>
  <si>
    <t>IBVS 6011</t>
  </si>
  <si>
    <t>IBVS 6042</t>
  </si>
  <si>
    <t>OEJV 0160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</si>
  <si>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</si>
  <si>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</si>
  <si>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</si>
  <si>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</si>
  <si>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</si>
  <si>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</si>
  <si>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</si>
  <si>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</si>
  <si>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</si>
  <si>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</si>
  <si>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</si>
  <si>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</si>
  <si>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=VLOOKUP(C11,A!C$21:E$973,3,FALSE)</t>
  </si>
  <si>
    <t>2454833.6883 </t>
  </si>
  <si>
    <t> 02.01.2009 04:31 </t>
  </si>
  <si>
    <t> 0.0269 </t>
  </si>
  <si>
    <t>C </t>
  </si>
  <si>
    <t> R.Diethelm </t>
  </si>
  <si>
    <t>IBVS 5894 </t>
  </si>
  <si>
    <t>2455108.9387 </t>
  </si>
  <si>
    <t> 04.10.2009 10:31 </t>
  </si>
  <si>
    <t> 0.0281 </t>
  </si>
  <si>
    <t> R.Nelson </t>
  </si>
  <si>
    <t>IBVS 5929 </t>
  </si>
  <si>
    <t>2455127.8930 </t>
  </si>
  <si>
    <t> 23.10.2009 09:25 </t>
  </si>
  <si>
    <t> 0.0294 </t>
  </si>
  <si>
    <t>IBVS 5920 </t>
  </si>
  <si>
    <t>2455480.8973 </t>
  </si>
  <si>
    <t> 11.10.2010 09:32 </t>
  </si>
  <si>
    <t> 0.0340 </t>
  </si>
  <si>
    <t>IBVS 5960 </t>
  </si>
  <si>
    <t>2455590.3107 </t>
  </si>
  <si>
    <t> 28.01.2011 19:27 </t>
  </si>
  <si>
    <t> 0.0369 </t>
  </si>
  <si>
    <t>-I</t>
  </si>
  <si>
    <t> F.Agerer </t>
  </si>
  <si>
    <t>BAVM 215 </t>
  </si>
  <si>
    <t>2455590.5256 </t>
  </si>
  <si>
    <t> 29.01.2011 00:36 </t>
  </si>
  <si>
    <t>9501.5</t>
  </si>
  <si>
    <t> 0.0365 </t>
  </si>
  <si>
    <t>2455592.2489 </t>
  </si>
  <si>
    <t> 30.01.2011 17:58 </t>
  </si>
  <si>
    <t>9505.5</t>
  </si>
  <si>
    <t> 0.0368 </t>
  </si>
  <si>
    <t>2455599.3562 </t>
  </si>
  <si>
    <t> 06.02.2011 20:32 </t>
  </si>
  <si>
    <t>9522</t>
  </si>
  <si>
    <t> 0.0367 </t>
  </si>
  <si>
    <t>2455599.5705 </t>
  </si>
  <si>
    <t> 07.02.2011 01:41 </t>
  </si>
  <si>
    <t>9522.5</t>
  </si>
  <si>
    <t> 0.0356 </t>
  </si>
  <si>
    <t>2455627.3569 </t>
  </si>
  <si>
    <t> 06.03.2011 20:33 </t>
  </si>
  <si>
    <t>9587</t>
  </si>
  <si>
    <t> 0.0386 </t>
  </si>
  <si>
    <t>BAVM 220 </t>
  </si>
  <si>
    <t>2455627.5705 </t>
  </si>
  <si>
    <t> 07.03.2011 01:41 </t>
  </si>
  <si>
    <t>9587.5</t>
  </si>
  <si>
    <t>2455670.4308 </t>
  </si>
  <si>
    <t> 18.04.2011 22:20 </t>
  </si>
  <si>
    <t>9687</t>
  </si>
  <si>
    <t> 0.0376 </t>
  </si>
  <si>
    <t>2455863.8420 </t>
  </si>
  <si>
    <t> 29.10.2011 08:12 </t>
  </si>
  <si>
    <t>10136</t>
  </si>
  <si>
    <t> 0.0420 </t>
  </si>
  <si>
    <t>IBVS 6011 </t>
  </si>
  <si>
    <t>2456230.8428 </t>
  </si>
  <si>
    <t> 30.10.2012 08:13 </t>
  </si>
  <si>
    <t>10988</t>
  </si>
  <si>
    <t> 0.0438 </t>
  </si>
  <si>
    <t>IBVS 6042 </t>
  </si>
  <si>
    <t>2456342.41099 </t>
  </si>
  <si>
    <t> 18.02.2013 21:51 </t>
  </si>
  <si>
    <t>11247</t>
  </si>
  <si>
    <t> 0.04774 </t>
  </si>
  <si>
    <t> M.Magris </t>
  </si>
  <si>
    <t>OEJV 0160 </t>
  </si>
  <si>
    <t>OEJV 250</t>
  </si>
  <si>
    <t>VSX</t>
  </si>
  <si>
    <t>Next ToM-P</t>
  </si>
  <si>
    <t>Next ToM-S</t>
  </si>
  <si>
    <t>IBVS</t>
  </si>
  <si>
    <t xml:space="preserve">Mag </t>
  </si>
  <si>
    <t>Mag</t>
  </si>
  <si>
    <t>JBVS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</si>
</sst>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6" fillId="0" borderId="0" xfId="0" applyFont="1" applyAlignment="1"/>
    <xf numFmtId="0" fontId="36" fillId="0" borderId="0" xfId="0" applyFont="1" applyAlignment="1">
      <alignment horizontal="right" vertical="top"/>
    </xf>
    <xf numFmtId="0" fontId="36" fillId="0" borderId="0" xfId="0" applyFont="1" applyAlignment="1">
      <alignment horizontal="right"/>
    </xf>
    <xf numFmtId="0" fontId="37" fillId="0" borderId="0" xfId="0" applyFont="1">
      <alignment vertical="top"/>
    </xf>
    <xf numFmtId="0" fontId="37" fillId="0" borderId="0" xfId="0" applyFont="1" applyAlignment="1"/>
    <xf numFmtId="22" fontId="37" fillId="0" borderId="0" xfId="0" applyNumberFormat="1" applyFont="1">
      <alignment vertical="top"/>
    </xf>
    <xf numFmtId="22" fontId="37" fillId="0" borderId="0" xfId="0" applyNumberFormat="1" applyFont="1" applyAlignment="1"/>
    <xf numFmtId="0" fontId="6" fillId="0" borderId="0" xfId="0" applyFont="1" applyAlignment="1">
      <alignment horizontal="center"/>
    </xf>
    <xf numFmtId="0" fontId="6" fillId="25" borderId="18" xfId="0" applyFont="1" applyFill="1" applyBorder="1" applyAlignment="1">
      <alignment horizontal="right" vertical="center"/>
    </xf>
    <xf numFmtId="0" fontId="0" fillId="25" borderId="19" xfId="0" applyFill="1" applyBorder="1" applyAlignment="1">
      <alignment horizontal="center" vertical="center"/>
    </xf>
    <xf numFmtId="0" fontId="36" fillId="0" borderId="20" xfId="0" applyFont="1" applyBorder="1" applyAlignment="1">
      <alignment horizontal="right" vertical="top"/>
    </xf>
    <xf numFmtId="0" fontId="13" fillId="0" borderId="21" xfId="0" applyFont="1" applyBorder="1">
      <alignment vertical="top"/>
    </xf>
    <xf numFmtId="0" fontId="37" fillId="0" borderId="21" xfId="0" applyFont="1" applyBorder="1">
      <alignment vertical="top"/>
    </xf>
    <xf numFmtId="0" fontId="37" fillId="0" borderId="21" xfId="0" applyFont="1" applyBorder="1" applyAlignment="1"/>
    <xf numFmtId="22" fontId="37" fillId="0" borderId="21" xfId="0" applyNumberFormat="1" applyFont="1" applyBorder="1">
      <alignment vertical="top"/>
    </xf>
    <xf numFmtId="22" fontId="37" fillId="0" borderId="22" xfId="0" applyNumberFormat="1" applyFont="1" applyBorder="1" applyAlignment="1"/>
    <xf numFmtId="0" fontId="36" fillId="0" borderId="23" xfId="0" applyFont="1" applyBorder="1" applyAlignment="1">
      <alignment horizontal="right"/>
    </xf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Cam - O-C Diagr.</a:t>
            </a:r>
          </a:p>
        </c:rich>
      </c:tx>
      <c:layout>
        <c:manualLayout>
          <c:xMode val="edge"/>
          <c:yMode val="edge"/>
          <c:x val="0.3816158913283471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4103326639297"/>
          <c:y val="0.14035127795846455"/>
          <c:w val="0.8300841299645077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 VSX'!$H$20:$H$20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A7-4734-998E-EF1AE052ED1D}"/>
            </c:ext>
          </c:extLst>
        </c:ser>
        <c:ser>
          <c:idx val="1"/>
          <c:order val="1"/>
          <c:tx>
            <c:strRef>
              <c:f>'Active 1 VSX'!$I$20:$I$20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VSX'!$I$21:$I$999</c:f>
              <c:numCache>
                <c:formatCode>General</c:formatCode>
                <c:ptCount val="979"/>
                <c:pt idx="0">
                  <c:v>-8.8049999998474959E-2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A7-4734-998E-EF1AE052ED1D}"/>
            </c:ext>
          </c:extLst>
        </c:ser>
        <c:ser>
          <c:idx val="3"/>
          <c:order val="2"/>
          <c:tx>
            <c:strRef>
              <c:f>'Active 1 VSX'!$J$20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VSX'!$J$21:$J$999</c:f>
              <c:numCache>
                <c:formatCode>General</c:formatCode>
                <c:ptCount val="979"/>
                <c:pt idx="5">
                  <c:v>-5.1099999996949919E-2</c:v>
                </c:pt>
                <c:pt idx="6">
                  <c:v>-5.1574999997683335E-2</c:v>
                </c:pt>
                <c:pt idx="7">
                  <c:v>-5.1275000005261973E-2</c:v>
                </c:pt>
                <c:pt idx="8">
                  <c:v>-5.1350000001548324E-2</c:v>
                </c:pt>
                <c:pt idx="9">
                  <c:v>-5.2425000001676381E-2</c:v>
                </c:pt>
                <c:pt idx="10">
                  <c:v>-4.9400000003515743E-2</c:v>
                </c:pt>
                <c:pt idx="11">
                  <c:v>-5.1175000000512227E-2</c:v>
                </c:pt>
                <c:pt idx="12">
                  <c:v>-5.0499999997555278E-2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A7-4734-998E-EF1AE052ED1D}"/>
            </c:ext>
          </c:extLst>
        </c:ser>
        <c:ser>
          <c:idx val="4"/>
          <c:order val="3"/>
          <c:tx>
            <c:strRef>
              <c:f>'Active 1 VSX'!$K$20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VSX'!$K$21:$K$999</c:f>
              <c:numCache>
                <c:formatCode>General</c:formatCode>
                <c:ptCount val="979"/>
                <c:pt idx="1">
                  <c:v>-6.1125000000174623E-2</c:v>
                </c:pt>
                <c:pt idx="2">
                  <c:v>-5.9975000003760215E-2</c:v>
                </c:pt>
                <c:pt idx="3">
                  <c:v>-5.8675000007497147E-2</c:v>
                </c:pt>
                <c:pt idx="4">
                  <c:v>-5.400000000372529E-2</c:v>
                </c:pt>
                <c:pt idx="13">
                  <c:v>-4.6050000004470348E-2</c:v>
                </c:pt>
                <c:pt idx="14">
                  <c:v>-4.4250000006286427E-2</c:v>
                </c:pt>
                <c:pt idx="15">
                  <c:v>-4.0310000003955793E-2</c:v>
                </c:pt>
                <c:pt idx="16">
                  <c:v>-1.840000000083819E-2</c:v>
                </c:pt>
                <c:pt idx="17">
                  <c:v>0</c:v>
                </c:pt>
                <c:pt idx="18">
                  <c:v>3.0359999997017439E-2</c:v>
                </c:pt>
                <c:pt idx="19">
                  <c:v>4.0740000004007015E-2</c:v>
                </c:pt>
                <c:pt idx="20">
                  <c:v>4.7995000000810251E-2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A7-4734-998E-EF1AE052ED1D}"/>
            </c:ext>
          </c:extLst>
        </c:ser>
        <c:ser>
          <c:idx val="2"/>
          <c:order val="4"/>
          <c:tx>
            <c:strRef>
              <c:f>'Active 1 VSX'!$L$20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A7-4734-998E-EF1AE052ED1D}"/>
            </c:ext>
          </c:extLst>
        </c:ser>
        <c:ser>
          <c:idx val="5"/>
          <c:order val="5"/>
          <c:tx>
            <c:strRef>
              <c:f>'Active 1 VSX'!$M$20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A7-4734-998E-EF1AE052ED1D}"/>
            </c:ext>
          </c:extLst>
        </c:ser>
        <c:ser>
          <c:idx val="6"/>
          <c:order val="6"/>
          <c:tx>
            <c:strRef>
              <c:f>'Active 1 VSX'!$N$20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A7-4734-998E-EF1AE052ED1D}"/>
            </c:ext>
          </c:extLst>
        </c:ser>
        <c:ser>
          <c:idx val="7"/>
          <c:order val="7"/>
          <c:tx>
            <c:strRef>
              <c:f>'Active 1 VSX'!$O$20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VSX'!$O$21:$O$999</c:f>
              <c:numCache>
                <c:formatCode>General</c:formatCode>
                <c:ptCount val="979"/>
                <c:pt idx="0">
                  <c:v>-0.1349234905696115</c:v>
                </c:pt>
                <c:pt idx="1">
                  <c:v>-6.7098024792861671E-2</c:v>
                </c:pt>
                <c:pt idx="2">
                  <c:v>-6.1501734182577837E-2</c:v>
                </c:pt>
                <c:pt idx="3">
                  <c:v>-6.1116387098301646E-2</c:v>
                </c:pt>
                <c:pt idx="4">
                  <c:v>-5.3939297653657514E-2</c:v>
                </c:pt>
                <c:pt idx="5">
                  <c:v>-5.1714794030790386E-2</c:v>
                </c:pt>
                <c:pt idx="6">
                  <c:v>-5.1710415086650884E-2</c:v>
                </c:pt>
                <c:pt idx="7">
                  <c:v>-5.1675383533534867E-2</c:v>
                </c:pt>
                <c:pt idx="8">
                  <c:v>-5.1530878376931294E-2</c:v>
                </c:pt>
                <c:pt idx="9">
                  <c:v>-5.1526499432791792E-2</c:v>
                </c:pt>
                <c:pt idx="10">
                  <c:v>-5.0961615638796004E-2</c:v>
                </c:pt>
                <c:pt idx="11">
                  <c:v>-5.0957236694656502E-2</c:v>
                </c:pt>
                <c:pt idx="12">
                  <c:v>-5.0085826810895559E-2</c:v>
                </c:pt>
                <c:pt idx="13">
                  <c:v>-4.6153534973622568E-2</c:v>
                </c:pt>
                <c:pt idx="14">
                  <c:v>-3.8691814159910791E-2</c:v>
                </c:pt>
                <c:pt idx="15">
                  <c:v>-3.6423521095648642E-2</c:v>
                </c:pt>
                <c:pt idx="16">
                  <c:v>-1.3407790698424987E-2</c:v>
                </c:pt>
                <c:pt idx="17">
                  <c:v>4.6159433797661395E-3</c:v>
                </c:pt>
                <c:pt idx="18">
                  <c:v>2.9829903735019907E-2</c:v>
                </c:pt>
                <c:pt idx="19">
                  <c:v>3.8062318717284077E-2</c:v>
                </c:pt>
                <c:pt idx="20">
                  <c:v>4.349658839440633E-2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A7-4734-998E-EF1AE052E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25208"/>
        <c:axId val="1"/>
      </c:scatterChart>
      <c:valAx>
        <c:axId val="718725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699303255617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25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98064761403429"/>
          <c:y val="0.92397937099967764"/>
          <c:w val="0.5821731406136907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Cam - O-C Diagr.</a:t>
            </a:r>
          </a:p>
        </c:rich>
      </c:tx>
      <c:layout>
        <c:manualLayout>
          <c:xMode val="edge"/>
          <c:yMode val="edge"/>
          <c:x val="0.3816158913283471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4103326639297"/>
          <c:y val="0.14035127795846455"/>
          <c:w val="0.8300841299645077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 VSX'!$H$20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E5-41EE-98C1-703CB9047990}"/>
            </c:ext>
          </c:extLst>
        </c:ser>
        <c:ser>
          <c:idx val="1"/>
          <c:order val="1"/>
          <c:tx>
            <c:strRef>
              <c:f>'Active 1 VSX'!$I$20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VSX'!$I$21:$I$999</c:f>
              <c:numCache>
                <c:formatCode>General</c:formatCode>
                <c:ptCount val="979"/>
                <c:pt idx="0">
                  <c:v>-8.8049999998474959E-2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E5-41EE-98C1-703CB9047990}"/>
            </c:ext>
          </c:extLst>
        </c:ser>
        <c:ser>
          <c:idx val="3"/>
          <c:order val="2"/>
          <c:tx>
            <c:strRef>
              <c:f>'Active 1 VSX'!$J$20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VSX'!$J$21:$J$999</c:f>
              <c:numCache>
                <c:formatCode>General</c:formatCode>
                <c:ptCount val="979"/>
                <c:pt idx="5">
                  <c:v>-5.1099999996949919E-2</c:v>
                </c:pt>
                <c:pt idx="6">
                  <c:v>-5.1574999997683335E-2</c:v>
                </c:pt>
                <c:pt idx="7">
                  <c:v>-5.1275000005261973E-2</c:v>
                </c:pt>
                <c:pt idx="8">
                  <c:v>-5.1350000001548324E-2</c:v>
                </c:pt>
                <c:pt idx="9">
                  <c:v>-5.2425000001676381E-2</c:v>
                </c:pt>
                <c:pt idx="10">
                  <c:v>-4.9400000003515743E-2</c:v>
                </c:pt>
                <c:pt idx="11">
                  <c:v>-5.1175000000512227E-2</c:v>
                </c:pt>
                <c:pt idx="12">
                  <c:v>-5.0499999997555278E-2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E5-41EE-98C1-703CB9047990}"/>
            </c:ext>
          </c:extLst>
        </c:ser>
        <c:ser>
          <c:idx val="4"/>
          <c:order val="3"/>
          <c:tx>
            <c:strRef>
              <c:f>'Active 1 VSX'!$K$20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VSX'!$K$21:$K$999</c:f>
              <c:numCache>
                <c:formatCode>General</c:formatCode>
                <c:ptCount val="979"/>
                <c:pt idx="1">
                  <c:v>-6.1125000000174623E-2</c:v>
                </c:pt>
                <c:pt idx="2">
                  <c:v>-5.9975000003760215E-2</c:v>
                </c:pt>
                <c:pt idx="3">
                  <c:v>-5.8675000007497147E-2</c:v>
                </c:pt>
                <c:pt idx="4">
                  <c:v>-5.400000000372529E-2</c:v>
                </c:pt>
                <c:pt idx="13">
                  <c:v>-4.6050000004470348E-2</c:v>
                </c:pt>
                <c:pt idx="14">
                  <c:v>-4.4250000006286427E-2</c:v>
                </c:pt>
                <c:pt idx="15">
                  <c:v>-4.0310000003955793E-2</c:v>
                </c:pt>
                <c:pt idx="16">
                  <c:v>-1.840000000083819E-2</c:v>
                </c:pt>
                <c:pt idx="17">
                  <c:v>0</c:v>
                </c:pt>
                <c:pt idx="18">
                  <c:v>3.0359999997017439E-2</c:v>
                </c:pt>
                <c:pt idx="19">
                  <c:v>4.0740000004007015E-2</c:v>
                </c:pt>
                <c:pt idx="20">
                  <c:v>4.7995000000810251E-2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E5-41EE-98C1-703CB9047990}"/>
            </c:ext>
          </c:extLst>
        </c:ser>
        <c:ser>
          <c:idx val="2"/>
          <c:order val="4"/>
          <c:tx>
            <c:strRef>
              <c:f>'Active 1 VSX'!$L$20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E5-41EE-98C1-703CB9047990}"/>
            </c:ext>
          </c:extLst>
        </c:ser>
        <c:ser>
          <c:idx val="5"/>
          <c:order val="5"/>
          <c:tx>
            <c:strRef>
              <c:f>'Active 1 VSX'!$M$20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E5-41EE-98C1-703CB9047990}"/>
            </c:ext>
          </c:extLst>
        </c:ser>
        <c:ser>
          <c:idx val="6"/>
          <c:order val="6"/>
          <c:tx>
            <c:strRef>
              <c:f>'Active 1 VSX'!$N$20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E5-41EE-98C1-703CB9047990}"/>
            </c:ext>
          </c:extLst>
        </c:ser>
        <c:ser>
          <c:idx val="7"/>
          <c:order val="7"/>
          <c:tx>
            <c:strRef>
              <c:f>'Active 1 VSX'!$O$20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 VSX'!$F$21:$F$999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1 VSX'!$O$21:$O$999</c:f>
              <c:numCache>
                <c:formatCode>General</c:formatCode>
                <c:ptCount val="979"/>
                <c:pt idx="0">
                  <c:v>-0.1349234905696115</c:v>
                </c:pt>
                <c:pt idx="1">
                  <c:v>-6.7098024792861671E-2</c:v>
                </c:pt>
                <c:pt idx="2">
                  <c:v>-6.1501734182577837E-2</c:v>
                </c:pt>
                <c:pt idx="3">
                  <c:v>-6.1116387098301646E-2</c:v>
                </c:pt>
                <c:pt idx="4">
                  <c:v>-5.3939297653657514E-2</c:v>
                </c:pt>
                <c:pt idx="5">
                  <c:v>-5.1714794030790386E-2</c:v>
                </c:pt>
                <c:pt idx="6">
                  <c:v>-5.1710415086650884E-2</c:v>
                </c:pt>
                <c:pt idx="7">
                  <c:v>-5.1675383533534867E-2</c:v>
                </c:pt>
                <c:pt idx="8">
                  <c:v>-5.1530878376931294E-2</c:v>
                </c:pt>
                <c:pt idx="9">
                  <c:v>-5.1526499432791792E-2</c:v>
                </c:pt>
                <c:pt idx="10">
                  <c:v>-5.0961615638796004E-2</c:v>
                </c:pt>
                <c:pt idx="11">
                  <c:v>-5.0957236694656502E-2</c:v>
                </c:pt>
                <c:pt idx="12">
                  <c:v>-5.0085826810895559E-2</c:v>
                </c:pt>
                <c:pt idx="13">
                  <c:v>-4.6153534973622568E-2</c:v>
                </c:pt>
                <c:pt idx="14">
                  <c:v>-3.8691814159910791E-2</c:v>
                </c:pt>
                <c:pt idx="15">
                  <c:v>-3.6423521095648642E-2</c:v>
                </c:pt>
                <c:pt idx="16">
                  <c:v>-1.3407790698424987E-2</c:v>
                </c:pt>
                <c:pt idx="17">
                  <c:v>4.6159433797661395E-3</c:v>
                </c:pt>
                <c:pt idx="18">
                  <c:v>2.9829903735019907E-2</c:v>
                </c:pt>
                <c:pt idx="19">
                  <c:v>3.8062318717284077E-2</c:v>
                </c:pt>
                <c:pt idx="20">
                  <c:v>4.349658839440633E-2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E5-41EE-98C1-703CB90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25208"/>
        <c:axId val="1"/>
      </c:scatterChart>
      <c:valAx>
        <c:axId val="718725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699303255617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25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98064761403429"/>
          <c:y val="0.92397937099967764"/>
          <c:w val="0.5821731406136907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Cam - O-C Diagr.</a:t>
            </a:r>
          </a:p>
        </c:rich>
      </c:tx>
      <c:layout>
        <c:manualLayout>
          <c:xMode val="edge"/>
          <c:yMode val="edge"/>
          <c:x val="0.3816158913283471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4103326639297"/>
          <c:y val="0.14035127795846455"/>
          <c:w val="0.8300841299645077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 IBVS'!$H$20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 IBVS'!$F$21:$F$999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2 IBVS'!$H$21:$H$999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80-4BB3-BD10-657CC3378DDC}"/>
            </c:ext>
          </c:extLst>
        </c:ser>
        <c:ser>
          <c:idx val="1"/>
          <c:order val="1"/>
          <c:tx>
            <c:strRef>
              <c:f>'Active 2 IBVS'!$I$20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 IBVS'!$F$21:$F$999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2 IBVS'!$I$21:$I$999</c:f>
              <c:numCache>
                <c:formatCode>General</c:formatCode>
                <c:ptCount val="979"/>
                <c:pt idx="0">
                  <c:v>-8.8049999998474959E-2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80-4BB3-BD10-657CC3378DDC}"/>
            </c:ext>
          </c:extLst>
        </c:ser>
        <c:ser>
          <c:idx val="3"/>
          <c:order val="2"/>
          <c:tx>
            <c:strRef>
              <c:f>'Active 2 IBVS'!$J$20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 IBVS'!$F$21:$F$999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2 IBVS'!$J$21:$J$999</c:f>
              <c:numCache>
                <c:formatCode>General</c:formatCode>
                <c:ptCount val="979"/>
                <c:pt idx="5">
                  <c:v>-5.1099999996949919E-2</c:v>
                </c:pt>
                <c:pt idx="6">
                  <c:v>-5.1574999997683335E-2</c:v>
                </c:pt>
                <c:pt idx="7">
                  <c:v>-5.1275000005261973E-2</c:v>
                </c:pt>
                <c:pt idx="8">
                  <c:v>-5.1350000001548324E-2</c:v>
                </c:pt>
                <c:pt idx="9">
                  <c:v>-5.2425000001676381E-2</c:v>
                </c:pt>
                <c:pt idx="10">
                  <c:v>-4.9400000003515743E-2</c:v>
                </c:pt>
                <c:pt idx="11">
                  <c:v>-5.1175000000512227E-2</c:v>
                </c:pt>
                <c:pt idx="12">
                  <c:v>-5.0499999997555278E-2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80-4BB3-BD10-657CC3378DDC}"/>
            </c:ext>
          </c:extLst>
        </c:ser>
        <c:ser>
          <c:idx val="4"/>
          <c:order val="3"/>
          <c:tx>
            <c:strRef>
              <c:f>'Active 2 IBVS'!$K$20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 IBVS'!$F$21:$F$999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2 IBVS'!$K$21:$K$999</c:f>
              <c:numCache>
                <c:formatCode>General</c:formatCode>
                <c:ptCount val="979"/>
                <c:pt idx="1">
                  <c:v>-6.1125000000174623E-2</c:v>
                </c:pt>
                <c:pt idx="2">
                  <c:v>-5.9975000003760215E-2</c:v>
                </c:pt>
                <c:pt idx="3">
                  <c:v>-5.8675000007497147E-2</c:v>
                </c:pt>
                <c:pt idx="4">
                  <c:v>-5.400000000372529E-2</c:v>
                </c:pt>
                <c:pt idx="13">
                  <c:v>-4.6050000004470348E-2</c:v>
                </c:pt>
                <c:pt idx="14">
                  <c:v>-4.4250000006286427E-2</c:v>
                </c:pt>
                <c:pt idx="15">
                  <c:v>-4.0310000003955793E-2</c:v>
                </c:pt>
                <c:pt idx="16">
                  <c:v>-1.840000000083819E-2</c:v>
                </c:pt>
                <c:pt idx="17">
                  <c:v>0</c:v>
                </c:pt>
                <c:pt idx="18">
                  <c:v>3.0359999997017439E-2</c:v>
                </c:pt>
                <c:pt idx="19">
                  <c:v>4.0740000004007015E-2</c:v>
                </c:pt>
                <c:pt idx="20">
                  <c:v>4.7995000000810251E-2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80-4BB3-BD10-657CC3378DDC}"/>
            </c:ext>
          </c:extLst>
        </c:ser>
        <c:ser>
          <c:idx val="2"/>
          <c:order val="4"/>
          <c:tx>
            <c:strRef>
              <c:f>'Active 2 IBVS'!$L$20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 IBVS'!$F$21:$F$999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2 IBVS'!$L$21:$L$999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80-4BB3-BD10-657CC3378DDC}"/>
            </c:ext>
          </c:extLst>
        </c:ser>
        <c:ser>
          <c:idx val="5"/>
          <c:order val="5"/>
          <c:tx>
            <c:strRef>
              <c:f>'Active 2 IBVS'!$M$20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 IBVS'!$F$21:$F$999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2 IBVS'!$M$21:$M$999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80-4BB3-BD10-657CC3378DDC}"/>
            </c:ext>
          </c:extLst>
        </c:ser>
        <c:ser>
          <c:idx val="6"/>
          <c:order val="6"/>
          <c:tx>
            <c:strRef>
              <c:f>'Active 2 IBVS'!$N$20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plus>
            <c:minus>
              <c:numRef>
                <c:f>'Active 1 VSX'!$D$21:$D$999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  <c:pt idx="18">
                    <c:v>3.0000000000000001E-5</c:v>
                  </c:pt>
                  <c:pt idx="19">
                    <c:v>5.0000000000000002E-5</c:v>
                  </c:pt>
                  <c:pt idx="20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 IBVS'!$F$21:$F$999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2 IBVS'!$N$21:$N$999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80-4BB3-BD10-657CC3378DDC}"/>
            </c:ext>
          </c:extLst>
        </c:ser>
        <c:ser>
          <c:idx val="7"/>
          <c:order val="7"/>
          <c:tx>
            <c:strRef>
              <c:f>'Active 2 IBVS'!$O$20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 IBVS'!$F$21:$F$999</c:f>
              <c:numCache>
                <c:formatCode>General</c:formatCode>
                <c:ptCount val="979"/>
                <c:pt idx="0">
                  <c:v>-15933</c:v>
                </c:pt>
                <c:pt idx="1">
                  <c:v>-8188.5</c:v>
                </c:pt>
                <c:pt idx="2">
                  <c:v>-7549.5</c:v>
                </c:pt>
                <c:pt idx="3">
                  <c:v>-7505.5</c:v>
                </c:pt>
                <c:pt idx="4">
                  <c:v>-6686</c:v>
                </c:pt>
                <c:pt idx="5">
                  <c:v>-6432</c:v>
                </c:pt>
                <c:pt idx="6">
                  <c:v>-6431.5</c:v>
                </c:pt>
                <c:pt idx="7">
                  <c:v>-6427.5</c:v>
                </c:pt>
                <c:pt idx="8">
                  <c:v>-6411</c:v>
                </c:pt>
                <c:pt idx="9">
                  <c:v>-6410.5</c:v>
                </c:pt>
                <c:pt idx="10">
                  <c:v>-6346</c:v>
                </c:pt>
                <c:pt idx="11">
                  <c:v>-6345.5</c:v>
                </c:pt>
                <c:pt idx="12">
                  <c:v>-6246</c:v>
                </c:pt>
                <c:pt idx="13">
                  <c:v>-5797</c:v>
                </c:pt>
                <c:pt idx="14">
                  <c:v>-4945</c:v>
                </c:pt>
                <c:pt idx="15">
                  <c:v>-4686</c:v>
                </c:pt>
                <c:pt idx="16">
                  <c:v>-2058</c:v>
                </c:pt>
                <c:pt idx="17">
                  <c:v>0</c:v>
                </c:pt>
                <c:pt idx="18">
                  <c:v>2879</c:v>
                </c:pt>
                <c:pt idx="19">
                  <c:v>3819</c:v>
                </c:pt>
                <c:pt idx="20">
                  <c:v>4439.5</c:v>
                </c:pt>
              </c:numCache>
            </c:numRef>
          </c:xVal>
          <c:yVal>
            <c:numRef>
              <c:f>'Active 2 IBVS'!$O$21:$O$999</c:f>
              <c:numCache>
                <c:formatCode>General</c:formatCode>
                <c:ptCount val="979"/>
                <c:pt idx="0">
                  <c:v>-0.1349234905696115</c:v>
                </c:pt>
                <c:pt idx="1">
                  <c:v>-6.7098024792861671E-2</c:v>
                </c:pt>
                <c:pt idx="2">
                  <c:v>-6.1501734182577837E-2</c:v>
                </c:pt>
                <c:pt idx="3">
                  <c:v>-6.1116387098301646E-2</c:v>
                </c:pt>
                <c:pt idx="4">
                  <c:v>-5.3939297653657514E-2</c:v>
                </c:pt>
                <c:pt idx="5">
                  <c:v>-5.1714794030790386E-2</c:v>
                </c:pt>
                <c:pt idx="6">
                  <c:v>-5.1710415086650884E-2</c:v>
                </c:pt>
                <c:pt idx="7">
                  <c:v>-5.1675383533534867E-2</c:v>
                </c:pt>
                <c:pt idx="8">
                  <c:v>-5.1530878376931294E-2</c:v>
                </c:pt>
                <c:pt idx="9">
                  <c:v>-5.1526499432791792E-2</c:v>
                </c:pt>
                <c:pt idx="10">
                  <c:v>-5.0961615638796004E-2</c:v>
                </c:pt>
                <c:pt idx="11">
                  <c:v>-5.0957236694656502E-2</c:v>
                </c:pt>
                <c:pt idx="12">
                  <c:v>-5.0085826810895559E-2</c:v>
                </c:pt>
                <c:pt idx="13">
                  <c:v>-4.6153534973622568E-2</c:v>
                </c:pt>
                <c:pt idx="14">
                  <c:v>-3.8691814159910791E-2</c:v>
                </c:pt>
                <c:pt idx="15">
                  <c:v>-3.6423521095648642E-2</c:v>
                </c:pt>
                <c:pt idx="16">
                  <c:v>-1.3407790698424987E-2</c:v>
                </c:pt>
                <c:pt idx="17">
                  <c:v>4.6159433797661395E-3</c:v>
                </c:pt>
                <c:pt idx="18">
                  <c:v>2.9829903735019907E-2</c:v>
                </c:pt>
                <c:pt idx="19">
                  <c:v>3.8062318717284077E-2</c:v>
                </c:pt>
                <c:pt idx="20">
                  <c:v>4.349658839440633E-2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80-4BB3-BD10-657CC3378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25208"/>
        <c:axId val="1"/>
      </c:scatterChart>
      <c:valAx>
        <c:axId val="718725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699303255617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25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98064761403429"/>
          <c:y val="0.92397937099967764"/>
          <c:w val="0.5821731406136907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18</xdr:col>
      <xdr:colOff>38100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553CFC-9BA3-BAFA-8629-BA4692005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18</xdr:col>
      <xdr:colOff>38100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8C6698-299B-481C-8345-1F70F7D70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0</xdr:row>
      <xdr:rowOff>0</xdr:rowOff>
    </xdr:from>
    <xdr:to>
      <xdr:col>18</xdr:col>
      <xdr:colOff>38100</xdr:colOff>
      <xdr:row>19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A8C433A-A6D0-43E8-BA7A-925BCFDC0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13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5929" TargetMode="External"/><Relationship Id="rId7" Type="http://schemas.openxmlformats.org/officeDocument/2006/relationships/hyperlink" Target="http://www.bav-astro.de/sfs/BAVM_link.php?BAVMnr=215" TargetMode="External"/><Relationship Id="rId1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894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5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konkoly.hu/cgi-bin/IBVS?5960" TargetMode="External"/><Relationship Id="rId15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konkoly.hu/cgi-bin/IBVS?5920" TargetMode="External"/><Relationship Id="rId9" Type="http://schemas.openxmlformats.org/officeDocument/2006/relationships/hyperlink" Target="http://www.bav-astro.de/sfs/BAVM_link.php?BAVMnr=215" TargetMode="External"/><Relationship Id="rId1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23</v>
      </c>
      <c r="B2" s="12" t="s">
        <v>33</v>
      </c>
      <c r="C2" s="3"/>
    </row>
    <row r="3" spans="1:6" ht="13.5" thickBot="1" x14ac:dyDescent="0.25"/>
    <row r="4" spans="1:6" ht="14.25" thickTop="1" thickBot="1" x14ac:dyDescent="0.25">
      <c r="A4" s="26" t="s">
        <v>34</v>
      </c>
      <c r="C4" s="8">
        <v>51497.718000000001</v>
      </c>
      <c r="D4" s="9">
        <v>0.43075000000000002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  <c r="E6" s="73" t="s">
        <v>132</v>
      </c>
    </row>
    <row r="7" spans="1:6" x14ac:dyDescent="0.2">
      <c r="A7" t="s">
        <v>2</v>
      </c>
      <c r="C7">
        <v>58360.945800000001</v>
      </c>
      <c r="D7" s="56" t="s">
        <v>132</v>
      </c>
      <c r="E7" s="74">
        <v>58360.945800000001</v>
      </c>
    </row>
    <row r="8" spans="1:6" x14ac:dyDescent="0.2">
      <c r="A8" t="s">
        <v>3</v>
      </c>
      <c r="C8">
        <v>0.43075000000000002</v>
      </c>
      <c r="D8" s="56" t="s">
        <v>138</v>
      </c>
      <c r="E8" s="75">
        <v>0.43078119999999998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1">
        <f ca="1">INTERCEPT(INDIRECT($D$9):G992,INDIRECT($C$9):F992)</f>
        <v>4.6159433797661395E-3</v>
      </c>
      <c r="D11" s="3"/>
      <c r="E11" s="12"/>
    </row>
    <row r="12" spans="1:6" x14ac:dyDescent="0.2">
      <c r="A12" s="12" t="s">
        <v>16</v>
      </c>
      <c r="B12" s="12"/>
      <c r="C12" s="21">
        <f ca="1">SLOPE(INDIRECT($D$9):G992,INDIRECT($C$9):F992)</f>
        <v>8.757888279004435E-6</v>
      </c>
      <c r="D12" s="3"/>
      <c r="E12" s="64" t="s">
        <v>136</v>
      </c>
      <c r="F12" s="65">
        <v>12.664999999999999</v>
      </c>
    </row>
    <row r="13" spans="1:6" x14ac:dyDescent="0.2">
      <c r="A13" s="12" t="s">
        <v>18</v>
      </c>
      <c r="B13" s="12"/>
      <c r="C13" s="3" t="s">
        <v>13</v>
      </c>
      <c r="E13" s="66" t="s">
        <v>41</v>
      </c>
      <c r="F13" s="67">
        <v>1</v>
      </c>
    </row>
    <row r="14" spans="1:6" x14ac:dyDescent="0.2">
      <c r="A14" s="12"/>
      <c r="B14" s="12"/>
      <c r="C14" s="12"/>
      <c r="E14" s="66" t="s">
        <v>30</v>
      </c>
      <c r="F14" s="68">
        <f ca="1">NOW()+15018.5+$C$5/24</f>
        <v>60520.749521180551</v>
      </c>
    </row>
    <row r="15" spans="1:6" x14ac:dyDescent="0.2">
      <c r="A15" s="14" t="s">
        <v>17</v>
      </c>
      <c r="B15" s="12"/>
      <c r="C15" s="15">
        <f ca="1">(C7+C11)+(C8+C12)*INT(MAX(F21:F3533))</f>
        <v>60273.088542209451</v>
      </c>
      <c r="E15" s="66" t="s">
        <v>42</v>
      </c>
      <c r="F15" s="68">
        <f ca="1">ROUND(2*(F14-$C$7)/$C$8,0)/2+F13</f>
        <v>5015</v>
      </c>
    </row>
    <row r="16" spans="1:6" x14ac:dyDescent="0.2">
      <c r="A16" s="17" t="s">
        <v>4</v>
      </c>
      <c r="B16" s="12"/>
      <c r="C16" s="18">
        <f ca="1">+C8+C12</f>
        <v>0.43075875788827905</v>
      </c>
      <c r="E16" s="66" t="s">
        <v>31</v>
      </c>
      <c r="F16" s="69">
        <f ca="1">ROUND(2*(F14-$C$15)/$C$16,0)/2+F13</f>
        <v>576</v>
      </c>
    </row>
    <row r="17" spans="1:17" ht="13.5" thickBot="1" x14ac:dyDescent="0.25">
      <c r="A17" s="16" t="s">
        <v>27</v>
      </c>
      <c r="B17" s="12"/>
      <c r="C17" s="12">
        <f>COUNT(C21:C2191)</f>
        <v>21</v>
      </c>
      <c r="E17" s="66" t="s">
        <v>133</v>
      </c>
      <c r="F17" s="70">
        <f ca="1">+$C$15+$C$16*$F$16-15018.5-$C$5/24</f>
        <v>45503.101420086437</v>
      </c>
    </row>
    <row r="18" spans="1:17" ht="14.25" thickTop="1" thickBot="1" x14ac:dyDescent="0.25">
      <c r="A18" s="17" t="s">
        <v>5</v>
      </c>
      <c r="B18" s="12"/>
      <c r="C18" s="19">
        <f ca="1">+C15</f>
        <v>60273.088542209451</v>
      </c>
      <c r="D18" s="20">
        <f ca="1">+C16</f>
        <v>0.43075875788827905</v>
      </c>
      <c r="E18" s="72" t="s">
        <v>134</v>
      </c>
      <c r="F18" s="71">
        <f ca="1">+($C$15+$C$16*$F$16)-($C$16/2)-15018.5-$C$5/24</f>
        <v>45502.88604070749</v>
      </c>
    </row>
    <row r="19" spans="1:17" ht="13.5" thickTop="1" x14ac:dyDescent="0.2"/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27" t="s">
        <v>35</v>
      </c>
      <c r="C21" s="10">
        <v>51497.718000000001</v>
      </c>
      <c r="D21" s="10" t="s">
        <v>13</v>
      </c>
      <c r="E21">
        <f t="shared" ref="E21:E41" si="0">+(C21-C$7)/C$8</f>
        <v>-15933.204410911201</v>
      </c>
      <c r="F21">
        <f t="shared" ref="F21:F41" si="1">ROUND(2*E21,0)/2</f>
        <v>-15933</v>
      </c>
      <c r="G21">
        <f t="shared" ref="G21:G41" si="2">+C21-(C$7+F21*C$8)</f>
        <v>-8.8049999998474959E-2</v>
      </c>
      <c r="I21">
        <f>G21</f>
        <v>-8.8049999998474959E-2</v>
      </c>
      <c r="O21">
        <f t="shared" ref="O21:O41" ca="1" si="3">+C$11+C$12*$F21</f>
        <v>-0.1349234905696115</v>
      </c>
      <c r="Q21" s="2">
        <f t="shared" ref="Q21:Q41" si="4">+C21-15018.5</f>
        <v>36479.218000000001</v>
      </c>
    </row>
    <row r="22" spans="1:17" x14ac:dyDescent="0.2">
      <c r="A22" s="28" t="s">
        <v>37</v>
      </c>
      <c r="B22" s="29" t="s">
        <v>38</v>
      </c>
      <c r="C22" s="28">
        <v>54833.688300000002</v>
      </c>
      <c r="D22" s="28">
        <v>4.0000000000000002E-4</v>
      </c>
      <c r="E22">
        <f t="shared" si="0"/>
        <v>-8188.6419036564121</v>
      </c>
      <c r="F22">
        <f t="shared" si="1"/>
        <v>-8188.5</v>
      </c>
      <c r="G22">
        <f t="shared" si="2"/>
        <v>-6.1125000000174623E-2</v>
      </c>
      <c r="K22">
        <f>G22</f>
        <v>-6.1125000000174623E-2</v>
      </c>
      <c r="O22">
        <f t="shared" ca="1" si="3"/>
        <v>-6.7098024792861671E-2</v>
      </c>
      <c r="Q22" s="2">
        <f t="shared" si="4"/>
        <v>39815.188300000002</v>
      </c>
    </row>
    <row r="23" spans="1:17" x14ac:dyDescent="0.2">
      <c r="A23" s="5" t="s">
        <v>40</v>
      </c>
      <c r="C23" s="10">
        <v>55108.938699999999</v>
      </c>
      <c r="D23" s="10">
        <v>1E-4</v>
      </c>
      <c r="E23">
        <f t="shared" si="0"/>
        <v>-7549.639233894376</v>
      </c>
      <c r="F23">
        <f t="shared" si="1"/>
        <v>-7549.5</v>
      </c>
      <c r="G23">
        <f t="shared" si="2"/>
        <v>-5.9975000003760215E-2</v>
      </c>
      <c r="K23">
        <f>G23</f>
        <v>-5.9975000003760215E-2</v>
      </c>
      <c r="O23">
        <f t="shared" ca="1" si="3"/>
        <v>-6.1501734182577837E-2</v>
      </c>
      <c r="Q23" s="2">
        <f t="shared" si="4"/>
        <v>40090.438699999999</v>
      </c>
    </row>
    <row r="24" spans="1:17" x14ac:dyDescent="0.2">
      <c r="A24" s="28" t="s">
        <v>39</v>
      </c>
      <c r="B24" s="29" t="s">
        <v>38</v>
      </c>
      <c r="C24" s="28">
        <v>55127.892999999996</v>
      </c>
      <c r="D24" s="28">
        <v>2.0000000000000001E-4</v>
      </c>
      <c r="E24">
        <f t="shared" si="0"/>
        <v>-7505.6362159025066</v>
      </c>
      <c r="F24">
        <f t="shared" si="1"/>
        <v>-7505.5</v>
      </c>
      <c r="G24">
        <f t="shared" si="2"/>
        <v>-5.8675000007497147E-2</v>
      </c>
      <c r="K24">
        <f>G24</f>
        <v>-5.8675000007497147E-2</v>
      </c>
      <c r="O24">
        <f t="shared" ca="1" si="3"/>
        <v>-6.1116387098301646E-2</v>
      </c>
      <c r="Q24" s="2">
        <f t="shared" si="4"/>
        <v>40109.392999999996</v>
      </c>
    </row>
    <row r="25" spans="1:17" x14ac:dyDescent="0.2">
      <c r="A25" s="30" t="s">
        <v>43</v>
      </c>
      <c r="B25" s="31" t="s">
        <v>44</v>
      </c>
      <c r="C25" s="32">
        <v>55480.897299999997</v>
      </c>
      <c r="D25" s="32">
        <v>2.0000000000000001E-4</v>
      </c>
      <c r="E25">
        <f t="shared" si="0"/>
        <v>-6686.1253627394181</v>
      </c>
      <c r="F25">
        <f t="shared" si="1"/>
        <v>-6686</v>
      </c>
      <c r="G25">
        <f t="shared" si="2"/>
        <v>-5.400000000372529E-2</v>
      </c>
      <c r="K25">
        <f>G25</f>
        <v>-5.400000000372529E-2</v>
      </c>
      <c r="O25">
        <f t="shared" ca="1" si="3"/>
        <v>-5.3939297653657514E-2</v>
      </c>
      <c r="Q25" s="2">
        <f t="shared" si="4"/>
        <v>40462.397299999997</v>
      </c>
    </row>
    <row r="26" spans="1:17" x14ac:dyDescent="0.2">
      <c r="A26" s="35" t="s">
        <v>49</v>
      </c>
      <c r="B26" s="35"/>
      <c r="C26" s="36">
        <v>55590.310700000002</v>
      </c>
      <c r="D26" s="36">
        <v>2E-3</v>
      </c>
      <c r="E26">
        <f t="shared" si="0"/>
        <v>-6432.1186302959941</v>
      </c>
      <c r="F26">
        <f t="shared" si="1"/>
        <v>-6432</v>
      </c>
      <c r="G26">
        <f t="shared" si="2"/>
        <v>-5.1099999996949919E-2</v>
      </c>
      <c r="J26">
        <f t="shared" ref="J26:J33" si="5">G26</f>
        <v>-5.1099999996949919E-2</v>
      </c>
      <c r="O26">
        <f t="shared" ca="1" si="3"/>
        <v>-5.1714794030790386E-2</v>
      </c>
      <c r="Q26" s="2">
        <f t="shared" si="4"/>
        <v>40571.810700000002</v>
      </c>
    </row>
    <row r="27" spans="1:17" x14ac:dyDescent="0.2">
      <c r="A27" s="35" t="s">
        <v>49</v>
      </c>
      <c r="B27" s="35"/>
      <c r="C27" s="36">
        <v>55590.525600000001</v>
      </c>
      <c r="D27" s="36">
        <v>1.6000000000000001E-3</v>
      </c>
      <c r="E27">
        <f t="shared" si="0"/>
        <v>-6431.6197330237965</v>
      </c>
      <c r="F27">
        <f t="shared" si="1"/>
        <v>-6431.5</v>
      </c>
      <c r="G27">
        <f t="shared" si="2"/>
        <v>-5.1574999997683335E-2</v>
      </c>
      <c r="J27">
        <f t="shared" si="5"/>
        <v>-5.1574999997683335E-2</v>
      </c>
      <c r="O27">
        <f t="shared" ca="1" si="3"/>
        <v>-5.1710415086650884E-2</v>
      </c>
      <c r="Q27" s="2">
        <f t="shared" si="4"/>
        <v>40572.025600000001</v>
      </c>
    </row>
    <row r="28" spans="1:17" x14ac:dyDescent="0.2">
      <c r="A28" s="35" t="s">
        <v>49</v>
      </c>
      <c r="B28" s="35"/>
      <c r="C28" s="36">
        <v>55592.248899999999</v>
      </c>
      <c r="D28" s="36">
        <v>1E-3</v>
      </c>
      <c r="E28">
        <f t="shared" si="0"/>
        <v>-6427.6190365641378</v>
      </c>
      <c r="F28">
        <f t="shared" si="1"/>
        <v>-6427.5</v>
      </c>
      <c r="G28">
        <f t="shared" si="2"/>
        <v>-5.1275000005261973E-2</v>
      </c>
      <c r="J28">
        <f t="shared" si="5"/>
        <v>-5.1275000005261973E-2</v>
      </c>
      <c r="O28">
        <f t="shared" ca="1" si="3"/>
        <v>-5.1675383533534867E-2</v>
      </c>
      <c r="Q28" s="2">
        <f t="shared" si="4"/>
        <v>40573.748899999999</v>
      </c>
    </row>
    <row r="29" spans="1:17" x14ac:dyDescent="0.2">
      <c r="A29" s="35" t="s">
        <v>49</v>
      </c>
      <c r="B29" s="35"/>
      <c r="C29" s="36">
        <v>55599.356200000002</v>
      </c>
      <c r="D29" s="36">
        <v>8.0000000000000004E-4</v>
      </c>
      <c r="E29">
        <f t="shared" si="0"/>
        <v>-6411.1192106790459</v>
      </c>
      <c r="F29">
        <f t="shared" si="1"/>
        <v>-6411</v>
      </c>
      <c r="G29">
        <f t="shared" si="2"/>
        <v>-5.1350000001548324E-2</v>
      </c>
      <c r="J29">
        <f t="shared" si="5"/>
        <v>-5.1350000001548324E-2</v>
      </c>
      <c r="O29">
        <f t="shared" ca="1" si="3"/>
        <v>-5.1530878376931294E-2</v>
      </c>
      <c r="Q29" s="2">
        <f t="shared" si="4"/>
        <v>40580.856200000002</v>
      </c>
    </row>
    <row r="30" spans="1:17" x14ac:dyDescent="0.2">
      <c r="A30" s="35" t="s">
        <v>49</v>
      </c>
      <c r="B30" s="35"/>
      <c r="C30" s="36">
        <v>55599.570500000002</v>
      </c>
      <c r="D30" s="36">
        <v>1.4E-3</v>
      </c>
      <c r="E30">
        <f t="shared" si="0"/>
        <v>-6410.6217063261738</v>
      </c>
      <c r="F30">
        <f t="shared" si="1"/>
        <v>-6410.5</v>
      </c>
      <c r="G30">
        <f t="shared" si="2"/>
        <v>-5.2425000001676381E-2</v>
      </c>
      <c r="J30">
        <f t="shared" si="5"/>
        <v>-5.2425000001676381E-2</v>
      </c>
      <c r="O30">
        <f t="shared" ca="1" si="3"/>
        <v>-5.1526499432791792E-2</v>
      </c>
      <c r="Q30" s="2">
        <f t="shared" si="4"/>
        <v>40581.070500000002</v>
      </c>
    </row>
    <row r="31" spans="1:17" x14ac:dyDescent="0.2">
      <c r="A31" s="33" t="s">
        <v>45</v>
      </c>
      <c r="B31" s="34" t="s">
        <v>44</v>
      </c>
      <c r="C31" s="33">
        <v>55627.356899999999</v>
      </c>
      <c r="D31" s="33">
        <v>4.7000000000000002E-3</v>
      </c>
      <c r="E31">
        <f t="shared" si="0"/>
        <v>-6346.1146836912412</v>
      </c>
      <c r="F31">
        <f t="shared" si="1"/>
        <v>-6346</v>
      </c>
      <c r="G31">
        <f t="shared" si="2"/>
        <v>-4.9400000003515743E-2</v>
      </c>
      <c r="J31">
        <f t="shared" si="5"/>
        <v>-4.9400000003515743E-2</v>
      </c>
      <c r="O31">
        <f t="shared" ca="1" si="3"/>
        <v>-5.0961615638796004E-2</v>
      </c>
      <c r="Q31" s="2">
        <f t="shared" si="4"/>
        <v>40608.856899999999</v>
      </c>
    </row>
    <row r="32" spans="1:17" x14ac:dyDescent="0.2">
      <c r="A32" s="33" t="s">
        <v>45</v>
      </c>
      <c r="B32" s="34" t="s">
        <v>38</v>
      </c>
      <c r="C32" s="33">
        <v>55627.570500000002</v>
      </c>
      <c r="D32" s="33">
        <v>4.1999999999999997E-3</v>
      </c>
      <c r="E32">
        <f t="shared" si="0"/>
        <v>-6345.6188044109103</v>
      </c>
      <c r="F32">
        <f t="shared" si="1"/>
        <v>-6345.5</v>
      </c>
      <c r="G32">
        <f t="shared" si="2"/>
        <v>-5.1175000000512227E-2</v>
      </c>
      <c r="J32">
        <f t="shared" si="5"/>
        <v>-5.1175000000512227E-2</v>
      </c>
      <c r="O32">
        <f t="shared" ca="1" si="3"/>
        <v>-5.0957236694656502E-2</v>
      </c>
      <c r="Q32" s="2">
        <f t="shared" si="4"/>
        <v>40609.070500000002</v>
      </c>
    </row>
    <row r="33" spans="1:17" x14ac:dyDescent="0.2">
      <c r="A33" s="33" t="s">
        <v>45</v>
      </c>
      <c r="B33" s="34" t="s">
        <v>44</v>
      </c>
      <c r="C33" s="33">
        <v>55670.430800000002</v>
      </c>
      <c r="D33" s="33">
        <v>3.7000000000000002E-3</v>
      </c>
      <c r="E33">
        <f t="shared" si="0"/>
        <v>-6246.1172373766667</v>
      </c>
      <c r="F33">
        <f t="shared" si="1"/>
        <v>-6246</v>
      </c>
      <c r="G33">
        <f t="shared" si="2"/>
        <v>-5.0499999997555278E-2</v>
      </c>
      <c r="J33">
        <f t="shared" si="5"/>
        <v>-5.0499999997555278E-2</v>
      </c>
      <c r="O33">
        <f t="shared" ca="1" si="3"/>
        <v>-5.0085826810895559E-2</v>
      </c>
      <c r="Q33" s="2">
        <f t="shared" si="4"/>
        <v>40651.930800000002</v>
      </c>
    </row>
    <row r="34" spans="1:17" x14ac:dyDescent="0.2">
      <c r="A34" s="33" t="s">
        <v>46</v>
      </c>
      <c r="B34" s="34" t="s">
        <v>44</v>
      </c>
      <c r="C34" s="33">
        <v>55863.841999999997</v>
      </c>
      <c r="D34" s="33">
        <v>4.0000000000000002E-4</v>
      </c>
      <c r="E34">
        <f t="shared" si="0"/>
        <v>-5797.1069065583388</v>
      </c>
      <c r="F34">
        <f t="shared" si="1"/>
        <v>-5797</v>
      </c>
      <c r="G34">
        <f t="shared" si="2"/>
        <v>-4.6050000004470348E-2</v>
      </c>
      <c r="K34">
        <f t="shared" ref="K34:K41" si="6">G34</f>
        <v>-4.6050000004470348E-2</v>
      </c>
      <c r="O34">
        <f t="shared" ca="1" si="3"/>
        <v>-4.6153534973622568E-2</v>
      </c>
      <c r="Q34" s="2">
        <f t="shared" si="4"/>
        <v>40845.341999999997</v>
      </c>
    </row>
    <row r="35" spans="1:17" x14ac:dyDescent="0.2">
      <c r="A35" s="30" t="s">
        <v>47</v>
      </c>
      <c r="B35" s="31" t="s">
        <v>44</v>
      </c>
      <c r="C35" s="32">
        <v>56230.842799999999</v>
      </c>
      <c r="D35" s="32">
        <v>1.9000000000000001E-4</v>
      </c>
      <c r="E35">
        <f t="shared" si="0"/>
        <v>-4945.1027278003548</v>
      </c>
      <c r="F35">
        <f t="shared" si="1"/>
        <v>-4945</v>
      </c>
      <c r="G35">
        <f t="shared" si="2"/>
        <v>-4.4250000006286427E-2</v>
      </c>
      <c r="K35">
        <f t="shared" si="6"/>
        <v>-4.4250000006286427E-2</v>
      </c>
      <c r="O35">
        <f t="shared" ca="1" si="3"/>
        <v>-3.8691814159910791E-2</v>
      </c>
      <c r="Q35" s="2">
        <f t="shared" si="4"/>
        <v>41212.342799999999</v>
      </c>
    </row>
    <row r="36" spans="1:17" x14ac:dyDescent="0.2">
      <c r="A36" s="30" t="s">
        <v>48</v>
      </c>
      <c r="B36" s="31" t="s">
        <v>44</v>
      </c>
      <c r="C36" s="32">
        <v>56342.410989999997</v>
      </c>
      <c r="D36" s="32">
        <v>8.0000000000000004E-4</v>
      </c>
      <c r="E36">
        <f t="shared" si="0"/>
        <v>-4686.0935809634466</v>
      </c>
      <c r="F36">
        <f t="shared" si="1"/>
        <v>-4686</v>
      </c>
      <c r="G36">
        <f t="shared" si="2"/>
        <v>-4.0310000003955793E-2</v>
      </c>
      <c r="K36">
        <f t="shared" si="6"/>
        <v>-4.0310000003955793E-2</v>
      </c>
      <c r="O36">
        <f t="shared" ca="1" si="3"/>
        <v>-3.6423521095648642E-2</v>
      </c>
      <c r="Q36" s="2">
        <f t="shared" si="4"/>
        <v>41323.910989999997</v>
      </c>
    </row>
    <row r="37" spans="1:17" x14ac:dyDescent="0.2">
      <c r="A37" s="50" t="s">
        <v>0</v>
      </c>
      <c r="B37" s="51" t="s">
        <v>44</v>
      </c>
      <c r="C37" s="52">
        <v>57474.443899999998</v>
      </c>
      <c r="D37" s="52">
        <v>1E-3</v>
      </c>
      <c r="E37">
        <f t="shared" si="0"/>
        <v>-2058.0427161926937</v>
      </c>
      <c r="F37">
        <f t="shared" si="1"/>
        <v>-2058</v>
      </c>
      <c r="G37">
        <f t="shared" si="2"/>
        <v>-1.840000000083819E-2</v>
      </c>
      <c r="K37">
        <f t="shared" si="6"/>
        <v>-1.840000000083819E-2</v>
      </c>
      <c r="O37">
        <f t="shared" ca="1" si="3"/>
        <v>-1.3407790698424987E-2</v>
      </c>
      <c r="Q37" s="2">
        <f t="shared" si="4"/>
        <v>42455.943899999998</v>
      </c>
    </row>
    <row r="38" spans="1:17" x14ac:dyDescent="0.2">
      <c r="A38" t="str">
        <f>$D$7</f>
        <v>VSX</v>
      </c>
      <c r="C38" s="10">
        <f>$C$7</f>
        <v>58360.945800000001</v>
      </c>
      <c r="D38" s="10"/>
      <c r="E38">
        <f t="shared" si="0"/>
        <v>0</v>
      </c>
      <c r="F38">
        <f t="shared" si="1"/>
        <v>0</v>
      </c>
      <c r="G38">
        <f t="shared" si="2"/>
        <v>0</v>
      </c>
      <c r="K38">
        <f t="shared" si="6"/>
        <v>0</v>
      </c>
      <c r="O38">
        <f t="shared" ca="1" si="3"/>
        <v>4.6159433797661395E-3</v>
      </c>
      <c r="Q38" s="2">
        <f t="shared" si="4"/>
        <v>43342.445800000001</v>
      </c>
    </row>
    <row r="39" spans="1:17" x14ac:dyDescent="0.2">
      <c r="A39" s="53" t="s">
        <v>131</v>
      </c>
      <c r="B39" s="54" t="s">
        <v>44</v>
      </c>
      <c r="C39" s="55">
        <v>59601.105409999996</v>
      </c>
      <c r="D39" s="55">
        <v>3.0000000000000001E-5</v>
      </c>
      <c r="E39">
        <f t="shared" si="0"/>
        <v>2879.0704817179226</v>
      </c>
      <c r="F39">
        <f t="shared" si="1"/>
        <v>2879</v>
      </c>
      <c r="G39">
        <f t="shared" si="2"/>
        <v>3.0359999997017439E-2</v>
      </c>
      <c r="K39">
        <f t="shared" si="6"/>
        <v>3.0359999997017439E-2</v>
      </c>
      <c r="O39">
        <f t="shared" ca="1" si="3"/>
        <v>2.9829903735019907E-2</v>
      </c>
      <c r="Q39" s="2">
        <f t="shared" si="4"/>
        <v>44582.605409999996</v>
      </c>
    </row>
    <row r="40" spans="1:17" x14ac:dyDescent="0.2">
      <c r="A40" s="53" t="s">
        <v>131</v>
      </c>
      <c r="B40" s="54" t="s">
        <v>44</v>
      </c>
      <c r="C40" s="55">
        <v>60006.020790000002</v>
      </c>
      <c r="D40" s="55">
        <v>5.0000000000000002E-5</v>
      </c>
      <c r="E40">
        <f t="shared" si="0"/>
        <v>3819.0945792222888</v>
      </c>
      <c r="F40">
        <f t="shared" si="1"/>
        <v>3819</v>
      </c>
      <c r="G40">
        <f t="shared" si="2"/>
        <v>4.0740000004007015E-2</v>
      </c>
      <c r="K40">
        <f t="shared" si="6"/>
        <v>4.0740000004007015E-2</v>
      </c>
      <c r="O40">
        <f t="shared" ca="1" si="3"/>
        <v>3.8062318717284077E-2</v>
      </c>
      <c r="Q40" s="2">
        <f t="shared" si="4"/>
        <v>44987.520790000002</v>
      </c>
    </row>
    <row r="41" spans="1:17" x14ac:dyDescent="0.2">
      <c r="A41" s="53" t="s">
        <v>131</v>
      </c>
      <c r="B41" s="54" t="s">
        <v>38</v>
      </c>
      <c r="C41" s="55">
        <v>60273.308420000001</v>
      </c>
      <c r="D41" s="55">
        <v>4.0000000000000003E-5</v>
      </c>
      <c r="E41">
        <f t="shared" si="0"/>
        <v>4439.611421938479</v>
      </c>
      <c r="F41">
        <f t="shared" si="1"/>
        <v>4439.5</v>
      </c>
      <c r="G41">
        <f t="shared" si="2"/>
        <v>4.7995000000810251E-2</v>
      </c>
      <c r="K41">
        <f t="shared" si="6"/>
        <v>4.7995000000810251E-2</v>
      </c>
      <c r="O41">
        <f t="shared" ca="1" si="3"/>
        <v>4.349658839440633E-2</v>
      </c>
      <c r="Q41" s="2">
        <f t="shared" si="4"/>
        <v>45254.808420000001</v>
      </c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R42">
    <sortCondition ref="C21:C42"/>
  </sortState>
  <phoneticPr fontId="8" type="noConversion"/>
  <hyperlinks>
    <hyperlink ref="H265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D571-4410-4F34-9EC4-846D0CF2E69E}">
  <dimension ref="A1:Q6940"/>
  <sheetViews>
    <sheetView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23</v>
      </c>
      <c r="B2" s="12" t="s">
        <v>33</v>
      </c>
      <c r="C2" s="3"/>
      <c r="D2" s="63" t="s">
        <v>137</v>
      </c>
      <c r="E2">
        <v>12.664999999999999</v>
      </c>
    </row>
    <row r="3" spans="1:6" ht="13.5" thickBot="1" x14ac:dyDescent="0.25"/>
    <row r="4" spans="1:6" ht="14.25" thickTop="1" thickBot="1" x14ac:dyDescent="0.25">
      <c r="A4" s="26" t="s">
        <v>34</v>
      </c>
      <c r="C4" s="8">
        <v>51497.718000000001</v>
      </c>
      <c r="D4" s="9">
        <v>0.43075000000000002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58360.945800000001</v>
      </c>
      <c r="D7" s="56" t="s">
        <v>132</v>
      </c>
    </row>
    <row r="8" spans="1:6" x14ac:dyDescent="0.2">
      <c r="A8" t="s">
        <v>3</v>
      </c>
      <c r="C8">
        <v>0.43075000000000002</v>
      </c>
      <c r="D8" s="56" t="s">
        <v>135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1">
        <f ca="1">INTERCEPT(INDIRECT($D$9):G992,INDIRECT($C$9):F992)</f>
        <v>4.6159433797661395E-3</v>
      </c>
      <c r="D11" s="3"/>
      <c r="E11" s="12"/>
    </row>
    <row r="12" spans="1:6" x14ac:dyDescent="0.2">
      <c r="A12" s="12" t="s">
        <v>16</v>
      </c>
      <c r="B12" s="12"/>
      <c r="C12" s="21">
        <f ca="1">SLOPE(INDIRECT($D$9):G992,INDIRECT($C$9):F992)</f>
        <v>8.757888279004435E-6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  <c r="E13" s="57" t="s">
        <v>41</v>
      </c>
      <c r="F13" s="13">
        <v>1</v>
      </c>
    </row>
    <row r="14" spans="1:6" x14ac:dyDescent="0.2">
      <c r="A14" s="12"/>
      <c r="B14" s="12"/>
      <c r="C14" s="12"/>
      <c r="E14" s="57" t="s">
        <v>30</v>
      </c>
      <c r="F14" s="59">
        <f ca="1">NOW()+15018.5+$C$5/24</f>
        <v>60520.749521180551</v>
      </c>
    </row>
    <row r="15" spans="1:6" x14ac:dyDescent="0.2">
      <c r="A15" s="14" t="s">
        <v>17</v>
      </c>
      <c r="B15" s="12"/>
      <c r="C15" s="15">
        <f ca="1">(C7+C11)+(C8+C12)*INT(MAX(F21:F3533))</f>
        <v>60273.088542209451</v>
      </c>
      <c r="E15" s="57" t="s">
        <v>42</v>
      </c>
      <c r="F15" s="59">
        <f ca="1">ROUND(2*(F14-$C$7)/$C$8,0)/2+F13</f>
        <v>5015</v>
      </c>
    </row>
    <row r="16" spans="1:6" x14ac:dyDescent="0.2">
      <c r="A16" s="17" t="s">
        <v>4</v>
      </c>
      <c r="B16" s="12"/>
      <c r="C16" s="18">
        <f ca="1">+C8+C12</f>
        <v>0.43075875788827905</v>
      </c>
      <c r="E16" s="57" t="s">
        <v>31</v>
      </c>
      <c r="F16" s="60">
        <f ca="1">ROUND(2*(F14-$C$15)/$C$16,0)/2+F13</f>
        <v>576</v>
      </c>
    </row>
    <row r="17" spans="1:17" ht="13.5" thickBot="1" x14ac:dyDescent="0.25">
      <c r="A17" s="16" t="s">
        <v>27</v>
      </c>
      <c r="B17" s="12"/>
      <c r="C17" s="12">
        <f>COUNT(C21:C2191)</f>
        <v>21</v>
      </c>
      <c r="E17" s="57" t="s">
        <v>133</v>
      </c>
      <c r="F17" s="61">
        <f ca="1">+$C$15+$C$16*$F$16-15018.5-$C$5/24</f>
        <v>45503.101420086437</v>
      </c>
    </row>
    <row r="18" spans="1:17" ht="14.25" thickTop="1" thickBot="1" x14ac:dyDescent="0.25">
      <c r="A18" s="17" t="s">
        <v>5</v>
      </c>
      <c r="B18" s="12"/>
      <c r="C18" s="19">
        <f ca="1">+C15</f>
        <v>60273.088542209451</v>
      </c>
      <c r="D18" s="20">
        <f ca="1">+C16</f>
        <v>0.43075875788827905</v>
      </c>
      <c r="E18" s="58" t="s">
        <v>134</v>
      </c>
      <c r="F18" s="62">
        <f ca="1">+($C$15+$C$16*$F$16)-($C$16/2)-15018.5-$C$5/24</f>
        <v>45502.88604070749</v>
      </c>
    </row>
    <row r="19" spans="1:17" ht="13.5" thickTop="1" x14ac:dyDescent="0.2"/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27" t="s">
        <v>35</v>
      </c>
      <c r="C21" s="10">
        <v>51497.718000000001</v>
      </c>
      <c r="D21" s="10" t="s">
        <v>13</v>
      </c>
      <c r="E21">
        <f t="shared" ref="E21:E41" si="0">+(C21-C$7)/C$8</f>
        <v>-15933.204410911201</v>
      </c>
      <c r="F21">
        <f t="shared" ref="F21:F41" si="1">ROUND(2*E21,0)/2</f>
        <v>-15933</v>
      </c>
      <c r="G21">
        <f t="shared" ref="G21:G41" si="2">+C21-(C$7+F21*C$8)</f>
        <v>-8.8049999998474959E-2</v>
      </c>
      <c r="I21">
        <f>G21</f>
        <v>-8.8049999998474959E-2</v>
      </c>
      <c r="O21">
        <f t="shared" ref="O21:O41" ca="1" si="3">+C$11+C$12*$F21</f>
        <v>-0.1349234905696115</v>
      </c>
      <c r="Q21" s="2">
        <f t="shared" ref="Q21:Q41" si="4">+C21-15018.5</f>
        <v>36479.218000000001</v>
      </c>
    </row>
    <row r="22" spans="1:17" x14ac:dyDescent="0.2">
      <c r="A22" s="28" t="s">
        <v>37</v>
      </c>
      <c r="B22" s="29" t="s">
        <v>38</v>
      </c>
      <c r="C22" s="28">
        <v>54833.688300000002</v>
      </c>
      <c r="D22" s="28">
        <v>4.0000000000000002E-4</v>
      </c>
      <c r="E22">
        <f t="shared" si="0"/>
        <v>-8188.6419036564121</v>
      </c>
      <c r="F22">
        <f t="shared" si="1"/>
        <v>-8188.5</v>
      </c>
      <c r="G22">
        <f t="shared" si="2"/>
        <v>-6.1125000000174623E-2</v>
      </c>
      <c r="K22">
        <f>G22</f>
        <v>-6.1125000000174623E-2</v>
      </c>
      <c r="O22">
        <f t="shared" ca="1" si="3"/>
        <v>-6.7098024792861671E-2</v>
      </c>
      <c r="Q22" s="2">
        <f t="shared" si="4"/>
        <v>39815.188300000002</v>
      </c>
    </row>
    <row r="23" spans="1:17" x14ac:dyDescent="0.2">
      <c r="A23" s="5" t="s">
        <v>40</v>
      </c>
      <c r="C23" s="10">
        <v>55108.938699999999</v>
      </c>
      <c r="D23" s="10">
        <v>1E-4</v>
      </c>
      <c r="E23">
        <f t="shared" si="0"/>
        <v>-7549.639233894376</v>
      </c>
      <c r="F23">
        <f t="shared" si="1"/>
        <v>-7549.5</v>
      </c>
      <c r="G23">
        <f t="shared" si="2"/>
        <v>-5.9975000003760215E-2</v>
      </c>
      <c r="K23">
        <f>G23</f>
        <v>-5.9975000003760215E-2</v>
      </c>
      <c r="O23">
        <f t="shared" ca="1" si="3"/>
        <v>-6.1501734182577837E-2</v>
      </c>
      <c r="Q23" s="2">
        <f t="shared" si="4"/>
        <v>40090.438699999999</v>
      </c>
    </row>
    <row r="24" spans="1:17" x14ac:dyDescent="0.2">
      <c r="A24" s="28" t="s">
        <v>39</v>
      </c>
      <c r="B24" s="29" t="s">
        <v>38</v>
      </c>
      <c r="C24" s="28">
        <v>55127.892999999996</v>
      </c>
      <c r="D24" s="28">
        <v>2.0000000000000001E-4</v>
      </c>
      <c r="E24">
        <f t="shared" si="0"/>
        <v>-7505.6362159025066</v>
      </c>
      <c r="F24">
        <f t="shared" si="1"/>
        <v>-7505.5</v>
      </c>
      <c r="G24">
        <f t="shared" si="2"/>
        <v>-5.8675000007497147E-2</v>
      </c>
      <c r="K24">
        <f>G24</f>
        <v>-5.8675000007497147E-2</v>
      </c>
      <c r="O24">
        <f t="shared" ca="1" si="3"/>
        <v>-6.1116387098301646E-2</v>
      </c>
      <c r="Q24" s="2">
        <f t="shared" si="4"/>
        <v>40109.392999999996</v>
      </c>
    </row>
    <row r="25" spans="1:17" x14ac:dyDescent="0.2">
      <c r="A25" s="30" t="s">
        <v>43</v>
      </c>
      <c r="B25" s="31" t="s">
        <v>44</v>
      </c>
      <c r="C25" s="32">
        <v>55480.897299999997</v>
      </c>
      <c r="D25" s="32">
        <v>2.0000000000000001E-4</v>
      </c>
      <c r="E25">
        <f t="shared" si="0"/>
        <v>-6686.1253627394181</v>
      </c>
      <c r="F25">
        <f t="shared" si="1"/>
        <v>-6686</v>
      </c>
      <c r="G25">
        <f t="shared" si="2"/>
        <v>-5.400000000372529E-2</v>
      </c>
      <c r="K25">
        <f>G25</f>
        <v>-5.400000000372529E-2</v>
      </c>
      <c r="O25">
        <f t="shared" ca="1" si="3"/>
        <v>-5.3939297653657514E-2</v>
      </c>
      <c r="Q25" s="2">
        <f t="shared" si="4"/>
        <v>40462.397299999997</v>
      </c>
    </row>
    <row r="26" spans="1:17" x14ac:dyDescent="0.2">
      <c r="A26" s="35" t="s">
        <v>49</v>
      </c>
      <c r="B26" s="35"/>
      <c r="C26" s="36">
        <v>55590.310700000002</v>
      </c>
      <c r="D26" s="36">
        <v>2E-3</v>
      </c>
      <c r="E26">
        <f t="shared" si="0"/>
        <v>-6432.1186302959941</v>
      </c>
      <c r="F26">
        <f t="shared" si="1"/>
        <v>-6432</v>
      </c>
      <c r="G26">
        <f t="shared" si="2"/>
        <v>-5.1099999996949919E-2</v>
      </c>
      <c r="J26">
        <f t="shared" ref="J26:J33" si="5">G26</f>
        <v>-5.1099999996949919E-2</v>
      </c>
      <c r="O26">
        <f t="shared" ca="1" si="3"/>
        <v>-5.1714794030790386E-2</v>
      </c>
      <c r="Q26" s="2">
        <f t="shared" si="4"/>
        <v>40571.810700000002</v>
      </c>
    </row>
    <row r="27" spans="1:17" x14ac:dyDescent="0.2">
      <c r="A27" s="35" t="s">
        <v>49</v>
      </c>
      <c r="B27" s="35"/>
      <c r="C27" s="36">
        <v>55590.525600000001</v>
      </c>
      <c r="D27" s="36">
        <v>1.6000000000000001E-3</v>
      </c>
      <c r="E27">
        <f t="shared" si="0"/>
        <v>-6431.6197330237965</v>
      </c>
      <c r="F27">
        <f t="shared" si="1"/>
        <v>-6431.5</v>
      </c>
      <c r="G27">
        <f t="shared" si="2"/>
        <v>-5.1574999997683335E-2</v>
      </c>
      <c r="J27">
        <f t="shared" si="5"/>
        <v>-5.1574999997683335E-2</v>
      </c>
      <c r="O27">
        <f t="shared" ca="1" si="3"/>
        <v>-5.1710415086650884E-2</v>
      </c>
      <c r="Q27" s="2">
        <f t="shared" si="4"/>
        <v>40572.025600000001</v>
      </c>
    </row>
    <row r="28" spans="1:17" x14ac:dyDescent="0.2">
      <c r="A28" s="35" t="s">
        <v>49</v>
      </c>
      <c r="B28" s="35"/>
      <c r="C28" s="36">
        <v>55592.248899999999</v>
      </c>
      <c r="D28" s="36">
        <v>1E-3</v>
      </c>
      <c r="E28">
        <f t="shared" si="0"/>
        <v>-6427.6190365641378</v>
      </c>
      <c r="F28">
        <f t="shared" si="1"/>
        <v>-6427.5</v>
      </c>
      <c r="G28">
        <f t="shared" si="2"/>
        <v>-5.1275000005261973E-2</v>
      </c>
      <c r="J28">
        <f t="shared" si="5"/>
        <v>-5.1275000005261973E-2</v>
      </c>
      <c r="O28">
        <f t="shared" ca="1" si="3"/>
        <v>-5.1675383533534867E-2</v>
      </c>
      <c r="Q28" s="2">
        <f t="shared" si="4"/>
        <v>40573.748899999999</v>
      </c>
    </row>
    <row r="29" spans="1:17" x14ac:dyDescent="0.2">
      <c r="A29" s="35" t="s">
        <v>49</v>
      </c>
      <c r="B29" s="35"/>
      <c r="C29" s="36">
        <v>55599.356200000002</v>
      </c>
      <c r="D29" s="36">
        <v>8.0000000000000004E-4</v>
      </c>
      <c r="E29">
        <f t="shared" si="0"/>
        <v>-6411.1192106790459</v>
      </c>
      <c r="F29">
        <f t="shared" si="1"/>
        <v>-6411</v>
      </c>
      <c r="G29">
        <f t="shared" si="2"/>
        <v>-5.1350000001548324E-2</v>
      </c>
      <c r="J29">
        <f t="shared" si="5"/>
        <v>-5.1350000001548324E-2</v>
      </c>
      <c r="O29">
        <f t="shared" ca="1" si="3"/>
        <v>-5.1530878376931294E-2</v>
      </c>
      <c r="Q29" s="2">
        <f t="shared" si="4"/>
        <v>40580.856200000002</v>
      </c>
    </row>
    <row r="30" spans="1:17" x14ac:dyDescent="0.2">
      <c r="A30" s="35" t="s">
        <v>49</v>
      </c>
      <c r="B30" s="35"/>
      <c r="C30" s="36">
        <v>55599.570500000002</v>
      </c>
      <c r="D30" s="36">
        <v>1.4E-3</v>
      </c>
      <c r="E30">
        <f t="shared" si="0"/>
        <v>-6410.6217063261738</v>
      </c>
      <c r="F30">
        <f t="shared" si="1"/>
        <v>-6410.5</v>
      </c>
      <c r="G30">
        <f t="shared" si="2"/>
        <v>-5.2425000001676381E-2</v>
      </c>
      <c r="J30">
        <f t="shared" si="5"/>
        <v>-5.2425000001676381E-2</v>
      </c>
      <c r="O30">
        <f t="shared" ca="1" si="3"/>
        <v>-5.1526499432791792E-2</v>
      </c>
      <c r="Q30" s="2">
        <f t="shared" si="4"/>
        <v>40581.070500000002</v>
      </c>
    </row>
    <row r="31" spans="1:17" x14ac:dyDescent="0.2">
      <c r="A31" s="33" t="s">
        <v>45</v>
      </c>
      <c r="B31" s="34" t="s">
        <v>44</v>
      </c>
      <c r="C31" s="33">
        <v>55627.356899999999</v>
      </c>
      <c r="D31" s="33">
        <v>4.7000000000000002E-3</v>
      </c>
      <c r="E31">
        <f t="shared" si="0"/>
        <v>-6346.1146836912412</v>
      </c>
      <c r="F31">
        <f t="shared" si="1"/>
        <v>-6346</v>
      </c>
      <c r="G31">
        <f t="shared" si="2"/>
        <v>-4.9400000003515743E-2</v>
      </c>
      <c r="J31">
        <f t="shared" si="5"/>
        <v>-4.9400000003515743E-2</v>
      </c>
      <c r="O31">
        <f t="shared" ca="1" si="3"/>
        <v>-5.0961615638796004E-2</v>
      </c>
      <c r="Q31" s="2">
        <f t="shared" si="4"/>
        <v>40608.856899999999</v>
      </c>
    </row>
    <row r="32" spans="1:17" x14ac:dyDescent="0.2">
      <c r="A32" s="33" t="s">
        <v>45</v>
      </c>
      <c r="B32" s="34" t="s">
        <v>38</v>
      </c>
      <c r="C32" s="33">
        <v>55627.570500000002</v>
      </c>
      <c r="D32" s="33">
        <v>4.1999999999999997E-3</v>
      </c>
      <c r="E32">
        <f t="shared" si="0"/>
        <v>-6345.6188044109103</v>
      </c>
      <c r="F32">
        <f t="shared" si="1"/>
        <v>-6345.5</v>
      </c>
      <c r="G32">
        <f t="shared" si="2"/>
        <v>-5.1175000000512227E-2</v>
      </c>
      <c r="J32">
        <f t="shared" si="5"/>
        <v>-5.1175000000512227E-2</v>
      </c>
      <c r="O32">
        <f t="shared" ca="1" si="3"/>
        <v>-5.0957236694656502E-2</v>
      </c>
      <c r="Q32" s="2">
        <f t="shared" si="4"/>
        <v>40609.070500000002</v>
      </c>
    </row>
    <row r="33" spans="1:17" x14ac:dyDescent="0.2">
      <c r="A33" s="33" t="s">
        <v>45</v>
      </c>
      <c r="B33" s="34" t="s">
        <v>44</v>
      </c>
      <c r="C33" s="33">
        <v>55670.430800000002</v>
      </c>
      <c r="D33" s="33">
        <v>3.7000000000000002E-3</v>
      </c>
      <c r="E33">
        <f t="shared" si="0"/>
        <v>-6246.1172373766667</v>
      </c>
      <c r="F33">
        <f t="shared" si="1"/>
        <v>-6246</v>
      </c>
      <c r="G33">
        <f t="shared" si="2"/>
        <v>-5.0499999997555278E-2</v>
      </c>
      <c r="J33">
        <f t="shared" si="5"/>
        <v>-5.0499999997555278E-2</v>
      </c>
      <c r="O33">
        <f t="shared" ca="1" si="3"/>
        <v>-5.0085826810895559E-2</v>
      </c>
      <c r="Q33" s="2">
        <f t="shared" si="4"/>
        <v>40651.930800000002</v>
      </c>
    </row>
    <row r="34" spans="1:17" x14ac:dyDescent="0.2">
      <c r="A34" s="33" t="s">
        <v>46</v>
      </c>
      <c r="B34" s="34" t="s">
        <v>44</v>
      </c>
      <c r="C34" s="33">
        <v>55863.841999999997</v>
      </c>
      <c r="D34" s="33">
        <v>4.0000000000000002E-4</v>
      </c>
      <c r="E34">
        <f t="shared" si="0"/>
        <v>-5797.1069065583388</v>
      </c>
      <c r="F34">
        <f t="shared" si="1"/>
        <v>-5797</v>
      </c>
      <c r="G34">
        <f t="shared" si="2"/>
        <v>-4.6050000004470348E-2</v>
      </c>
      <c r="K34">
        <f t="shared" ref="K34:K41" si="6">G34</f>
        <v>-4.6050000004470348E-2</v>
      </c>
      <c r="O34">
        <f t="shared" ca="1" si="3"/>
        <v>-4.6153534973622568E-2</v>
      </c>
      <c r="Q34" s="2">
        <f t="shared" si="4"/>
        <v>40845.341999999997</v>
      </c>
    </row>
    <row r="35" spans="1:17" x14ac:dyDescent="0.2">
      <c r="A35" s="30" t="s">
        <v>47</v>
      </c>
      <c r="B35" s="31" t="s">
        <v>44</v>
      </c>
      <c r="C35" s="32">
        <v>56230.842799999999</v>
      </c>
      <c r="D35" s="32">
        <v>1.9000000000000001E-4</v>
      </c>
      <c r="E35">
        <f t="shared" si="0"/>
        <v>-4945.1027278003548</v>
      </c>
      <c r="F35">
        <f t="shared" si="1"/>
        <v>-4945</v>
      </c>
      <c r="G35">
        <f t="shared" si="2"/>
        <v>-4.4250000006286427E-2</v>
      </c>
      <c r="K35">
        <f t="shared" si="6"/>
        <v>-4.4250000006286427E-2</v>
      </c>
      <c r="O35">
        <f t="shared" ca="1" si="3"/>
        <v>-3.8691814159910791E-2</v>
      </c>
      <c r="Q35" s="2">
        <f t="shared" si="4"/>
        <v>41212.342799999999</v>
      </c>
    </row>
    <row r="36" spans="1:17" x14ac:dyDescent="0.2">
      <c r="A36" s="30" t="s">
        <v>48</v>
      </c>
      <c r="B36" s="31" t="s">
        <v>44</v>
      </c>
      <c r="C36" s="32">
        <v>56342.410989999997</v>
      </c>
      <c r="D36" s="32">
        <v>8.0000000000000004E-4</v>
      </c>
      <c r="E36">
        <f t="shared" si="0"/>
        <v>-4686.0935809634466</v>
      </c>
      <c r="F36">
        <f t="shared" si="1"/>
        <v>-4686</v>
      </c>
      <c r="G36">
        <f t="shared" si="2"/>
        <v>-4.0310000003955793E-2</v>
      </c>
      <c r="K36">
        <f t="shared" si="6"/>
        <v>-4.0310000003955793E-2</v>
      </c>
      <c r="O36">
        <f t="shared" ca="1" si="3"/>
        <v>-3.6423521095648642E-2</v>
      </c>
      <c r="Q36" s="2">
        <f t="shared" si="4"/>
        <v>41323.910989999997</v>
      </c>
    </row>
    <row r="37" spans="1:17" x14ac:dyDescent="0.2">
      <c r="A37" s="50" t="s">
        <v>0</v>
      </c>
      <c r="B37" s="51" t="s">
        <v>44</v>
      </c>
      <c r="C37" s="52">
        <v>57474.443899999998</v>
      </c>
      <c r="D37" s="52">
        <v>1E-3</v>
      </c>
      <c r="E37">
        <f t="shared" si="0"/>
        <v>-2058.0427161926937</v>
      </c>
      <c r="F37">
        <f t="shared" si="1"/>
        <v>-2058</v>
      </c>
      <c r="G37">
        <f t="shared" si="2"/>
        <v>-1.840000000083819E-2</v>
      </c>
      <c r="K37">
        <f t="shared" si="6"/>
        <v>-1.840000000083819E-2</v>
      </c>
      <c r="O37">
        <f t="shared" ca="1" si="3"/>
        <v>-1.3407790698424987E-2</v>
      </c>
      <c r="Q37" s="2">
        <f t="shared" si="4"/>
        <v>42455.943899999998</v>
      </c>
    </row>
    <row r="38" spans="1:17" x14ac:dyDescent="0.2">
      <c r="A38" t="str">
        <f>$D$7</f>
        <v>VSX</v>
      </c>
      <c r="C38" s="10">
        <f>$C$7</f>
        <v>58360.945800000001</v>
      </c>
      <c r="D38" s="10"/>
      <c r="E38">
        <f t="shared" si="0"/>
        <v>0</v>
      </c>
      <c r="F38">
        <f t="shared" si="1"/>
        <v>0</v>
      </c>
      <c r="G38">
        <f t="shared" si="2"/>
        <v>0</v>
      </c>
      <c r="K38">
        <f t="shared" si="6"/>
        <v>0</v>
      </c>
      <c r="O38">
        <f t="shared" ca="1" si="3"/>
        <v>4.6159433797661395E-3</v>
      </c>
      <c r="Q38" s="2">
        <f t="shared" si="4"/>
        <v>43342.445800000001</v>
      </c>
    </row>
    <row r="39" spans="1:17" x14ac:dyDescent="0.2">
      <c r="A39" s="53" t="s">
        <v>131</v>
      </c>
      <c r="B39" s="54" t="s">
        <v>44</v>
      </c>
      <c r="C39" s="55">
        <v>59601.105409999996</v>
      </c>
      <c r="D39" s="55">
        <v>3.0000000000000001E-5</v>
      </c>
      <c r="E39">
        <f t="shared" si="0"/>
        <v>2879.0704817179226</v>
      </c>
      <c r="F39">
        <f t="shared" si="1"/>
        <v>2879</v>
      </c>
      <c r="G39">
        <f t="shared" si="2"/>
        <v>3.0359999997017439E-2</v>
      </c>
      <c r="K39">
        <f t="shared" si="6"/>
        <v>3.0359999997017439E-2</v>
      </c>
      <c r="O39">
        <f t="shared" ca="1" si="3"/>
        <v>2.9829903735019907E-2</v>
      </c>
      <c r="Q39" s="2">
        <f t="shared" si="4"/>
        <v>44582.605409999996</v>
      </c>
    </row>
    <row r="40" spans="1:17" x14ac:dyDescent="0.2">
      <c r="A40" s="53" t="s">
        <v>131</v>
      </c>
      <c r="B40" s="54" t="s">
        <v>44</v>
      </c>
      <c r="C40" s="55">
        <v>60006.020790000002</v>
      </c>
      <c r="D40" s="55">
        <v>5.0000000000000002E-5</v>
      </c>
      <c r="E40">
        <f t="shared" si="0"/>
        <v>3819.0945792222888</v>
      </c>
      <c r="F40">
        <f t="shared" si="1"/>
        <v>3819</v>
      </c>
      <c r="G40">
        <f t="shared" si="2"/>
        <v>4.0740000004007015E-2</v>
      </c>
      <c r="K40">
        <f t="shared" si="6"/>
        <v>4.0740000004007015E-2</v>
      </c>
      <c r="O40">
        <f t="shared" ca="1" si="3"/>
        <v>3.8062318717284077E-2</v>
      </c>
      <c r="Q40" s="2">
        <f t="shared" si="4"/>
        <v>44987.520790000002</v>
      </c>
    </row>
    <row r="41" spans="1:17" x14ac:dyDescent="0.2">
      <c r="A41" s="53" t="s">
        <v>131</v>
      </c>
      <c r="B41" s="54" t="s">
        <v>38</v>
      </c>
      <c r="C41" s="55">
        <v>60273.308420000001</v>
      </c>
      <c r="D41" s="55">
        <v>4.0000000000000003E-5</v>
      </c>
      <c r="E41">
        <f t="shared" si="0"/>
        <v>4439.611421938479</v>
      </c>
      <c r="F41">
        <f t="shared" si="1"/>
        <v>4439.5</v>
      </c>
      <c r="G41">
        <f t="shared" si="2"/>
        <v>4.7995000000810251E-2</v>
      </c>
      <c r="K41">
        <f t="shared" si="6"/>
        <v>4.7995000000810251E-2</v>
      </c>
      <c r="O41">
        <f t="shared" ca="1" si="3"/>
        <v>4.349658839440633E-2</v>
      </c>
      <c r="Q41" s="2">
        <f t="shared" si="4"/>
        <v>45254.808420000001</v>
      </c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hyperlinks>
    <hyperlink ref="H2658" r:id="rId1" display="http://vsolj.cetus-net.org/bulletin.html" xr:uid="{4272CD25-C5A4-416E-9003-B4D0285FD0E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1"/>
  <sheetViews>
    <sheetView topLeftCell="A3" workbookViewId="0">
      <selection activeCell="A26" sqref="A26:IV283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7" t="s">
        <v>50</v>
      </c>
      <c r="I1" s="38" t="s">
        <v>51</v>
      </c>
      <c r="J1" s="39" t="s">
        <v>52</v>
      </c>
    </row>
    <row r="2" spans="1:16" x14ac:dyDescent="0.2">
      <c r="I2" s="40" t="s">
        <v>53</v>
      </c>
      <c r="J2" s="41" t="s">
        <v>54</v>
      </c>
    </row>
    <row r="3" spans="1:16" x14ac:dyDescent="0.2">
      <c r="A3" s="42" t="s">
        <v>55</v>
      </c>
      <c r="I3" s="40" t="s">
        <v>56</v>
      </c>
      <c r="J3" s="41" t="s">
        <v>57</v>
      </c>
    </row>
    <row r="4" spans="1:16" x14ac:dyDescent="0.2">
      <c r="I4" s="40" t="s">
        <v>58</v>
      </c>
      <c r="J4" s="41" t="s">
        <v>57</v>
      </c>
    </row>
    <row r="5" spans="1:16" ht="13.5" thickBot="1" x14ac:dyDescent="0.25">
      <c r="I5" s="43" t="s">
        <v>59</v>
      </c>
      <c r="J5" s="44" t="s">
        <v>60</v>
      </c>
    </row>
    <row r="10" spans="1:16" ht="13.5" thickBot="1" x14ac:dyDescent="0.25"/>
    <row r="11" spans="1:16" ht="12.75" customHeight="1" thickBot="1" x14ac:dyDescent="0.25">
      <c r="A11" s="10" t="str">
        <f t="shared" ref="A11:A25" si="0">P11</f>
        <v>IBVS 5894 </v>
      </c>
      <c r="B11" s="3" t="str">
        <f t="shared" ref="B11:B25" si="1">IF(H11=INT(H11),"I","II")</f>
        <v>II</v>
      </c>
      <c r="C11" s="10">
        <f t="shared" ref="C11:C25" si="2">1*G11</f>
        <v>54833.688300000002</v>
      </c>
      <c r="D11" s="12" t="str">
        <f t="shared" ref="D11:D25" si="3">VLOOKUP(F11,I$1:J$5,2,FALSE)</f>
        <v>vis</v>
      </c>
      <c r="E11" s="45" t="s">
        <v>61</v>
      </c>
      <c r="F11" s="3" t="s">
        <v>59</v>
      </c>
      <c r="G11" s="12" t="str">
        <f t="shared" ref="G11:G25" si="4">MID(I11,3,LEN(I11)-3)</f>
        <v>54833.6883</v>
      </c>
      <c r="H11" s="10">
        <f t="shared" ref="H11:H25" si="5">1*K11</f>
        <v>7744.5</v>
      </c>
      <c r="I11" s="46" t="s">
        <v>62</v>
      </c>
      <c r="J11" s="47" t="s">
        <v>63</v>
      </c>
      <c r="K11" s="46">
        <v>7744.5</v>
      </c>
      <c r="L11" s="46" t="s">
        <v>64</v>
      </c>
      <c r="M11" s="47" t="s">
        <v>65</v>
      </c>
      <c r="N11" s="47" t="s">
        <v>59</v>
      </c>
      <c r="O11" s="48" t="s">
        <v>66</v>
      </c>
      <c r="P11" s="49" t="s">
        <v>67</v>
      </c>
    </row>
    <row r="12" spans="1:16" ht="12.75" customHeight="1" thickBot="1" x14ac:dyDescent="0.25">
      <c r="A12" s="10" t="str">
        <f t="shared" si="0"/>
        <v>IBVS 5929 </v>
      </c>
      <c r="B12" s="3" t="str">
        <f t="shared" si="1"/>
        <v>II</v>
      </c>
      <c r="C12" s="10">
        <f t="shared" si="2"/>
        <v>55108.938699999999</v>
      </c>
      <c r="D12" s="12" t="str">
        <f t="shared" si="3"/>
        <v>vis</v>
      </c>
      <c r="E12" s="45" t="s">
        <v>61</v>
      </c>
      <c r="F12" s="3" t="s">
        <v>59</v>
      </c>
      <c r="G12" s="12" t="str">
        <f t="shared" si="4"/>
        <v>55108.9387</v>
      </c>
      <c r="H12" s="10">
        <f t="shared" si="5"/>
        <v>8383.5</v>
      </c>
      <c r="I12" s="46" t="s">
        <v>68</v>
      </c>
      <c r="J12" s="47" t="s">
        <v>69</v>
      </c>
      <c r="K12" s="46">
        <v>8383.5</v>
      </c>
      <c r="L12" s="46" t="s">
        <v>70</v>
      </c>
      <c r="M12" s="47" t="s">
        <v>65</v>
      </c>
      <c r="N12" s="47" t="s">
        <v>51</v>
      </c>
      <c r="O12" s="48" t="s">
        <v>71</v>
      </c>
      <c r="P12" s="49" t="s">
        <v>72</v>
      </c>
    </row>
    <row r="13" spans="1:16" ht="12.75" customHeight="1" thickBot="1" x14ac:dyDescent="0.25">
      <c r="A13" s="10" t="str">
        <f t="shared" si="0"/>
        <v>IBVS 5920 </v>
      </c>
      <c r="B13" s="3" t="str">
        <f t="shared" si="1"/>
        <v>II</v>
      </c>
      <c r="C13" s="10">
        <f t="shared" si="2"/>
        <v>55127.892999999996</v>
      </c>
      <c r="D13" s="12" t="str">
        <f t="shared" si="3"/>
        <v>vis</v>
      </c>
      <c r="E13" s="45" t="s">
        <v>61</v>
      </c>
      <c r="F13" s="3" t="s">
        <v>59</v>
      </c>
      <c r="G13" s="12" t="str">
        <f t="shared" si="4"/>
        <v>55127.8930</v>
      </c>
      <c r="H13" s="10">
        <f t="shared" si="5"/>
        <v>8427.5</v>
      </c>
      <c r="I13" s="46" t="s">
        <v>73</v>
      </c>
      <c r="J13" s="47" t="s">
        <v>74</v>
      </c>
      <c r="K13" s="46">
        <v>8427.5</v>
      </c>
      <c r="L13" s="46" t="s">
        <v>75</v>
      </c>
      <c r="M13" s="47" t="s">
        <v>65</v>
      </c>
      <c r="N13" s="47" t="s">
        <v>59</v>
      </c>
      <c r="O13" s="48" t="s">
        <v>66</v>
      </c>
      <c r="P13" s="49" t="s">
        <v>76</v>
      </c>
    </row>
    <row r="14" spans="1:16" ht="12.75" customHeight="1" thickBot="1" x14ac:dyDescent="0.25">
      <c r="A14" s="10" t="str">
        <f t="shared" si="0"/>
        <v>IBVS 5960 </v>
      </c>
      <c r="B14" s="3" t="str">
        <f t="shared" si="1"/>
        <v>I</v>
      </c>
      <c r="C14" s="10">
        <f t="shared" si="2"/>
        <v>55480.897299999997</v>
      </c>
      <c r="D14" s="12" t="str">
        <f t="shared" si="3"/>
        <v>vis</v>
      </c>
      <c r="E14" s="45" t="s">
        <v>61</v>
      </c>
      <c r="F14" s="3" t="s">
        <v>59</v>
      </c>
      <c r="G14" s="12" t="str">
        <f t="shared" si="4"/>
        <v>55480.8973</v>
      </c>
      <c r="H14" s="10">
        <f t="shared" si="5"/>
        <v>9247</v>
      </c>
      <c r="I14" s="46" t="s">
        <v>77</v>
      </c>
      <c r="J14" s="47" t="s">
        <v>78</v>
      </c>
      <c r="K14" s="46">
        <v>9247</v>
      </c>
      <c r="L14" s="46" t="s">
        <v>79</v>
      </c>
      <c r="M14" s="47" t="s">
        <v>65</v>
      </c>
      <c r="N14" s="47" t="s">
        <v>59</v>
      </c>
      <c r="O14" s="48" t="s">
        <v>66</v>
      </c>
      <c r="P14" s="49" t="s">
        <v>80</v>
      </c>
    </row>
    <row r="15" spans="1:16" ht="12.75" customHeight="1" thickBot="1" x14ac:dyDescent="0.25">
      <c r="A15" s="10" t="str">
        <f t="shared" si="0"/>
        <v>BAVM 215 </v>
      </c>
      <c r="B15" s="3" t="str">
        <f t="shared" si="1"/>
        <v>I</v>
      </c>
      <c r="C15" s="10">
        <f t="shared" si="2"/>
        <v>55590.310700000002</v>
      </c>
      <c r="D15" s="12" t="str">
        <f t="shared" si="3"/>
        <v>vis</v>
      </c>
      <c r="E15" s="45" t="s">
        <v>61</v>
      </c>
      <c r="F15" s="3" t="s">
        <v>59</v>
      </c>
      <c r="G15" s="12" t="str">
        <f t="shared" si="4"/>
        <v>55590.3107</v>
      </c>
      <c r="H15" s="10">
        <f t="shared" si="5"/>
        <v>9501</v>
      </c>
      <c r="I15" s="46" t="s">
        <v>81</v>
      </c>
      <c r="J15" s="47" t="s">
        <v>82</v>
      </c>
      <c r="K15" s="46">
        <v>9501</v>
      </c>
      <c r="L15" s="46" t="s">
        <v>83</v>
      </c>
      <c r="M15" s="47" t="s">
        <v>65</v>
      </c>
      <c r="N15" s="47" t="s">
        <v>84</v>
      </c>
      <c r="O15" s="48" t="s">
        <v>85</v>
      </c>
      <c r="P15" s="49" t="s">
        <v>86</v>
      </c>
    </row>
    <row r="16" spans="1:16" ht="12.75" customHeight="1" thickBot="1" x14ac:dyDescent="0.25">
      <c r="A16" s="10" t="str">
        <f t="shared" si="0"/>
        <v>BAVM 215 </v>
      </c>
      <c r="B16" s="3" t="str">
        <f t="shared" si="1"/>
        <v>II</v>
      </c>
      <c r="C16" s="10">
        <f t="shared" si="2"/>
        <v>55590.525600000001</v>
      </c>
      <c r="D16" s="12" t="str">
        <f t="shared" si="3"/>
        <v>vis</v>
      </c>
      <c r="E16" s="45" t="s">
        <v>61</v>
      </c>
      <c r="F16" s="3" t="s">
        <v>59</v>
      </c>
      <c r="G16" s="12" t="str">
        <f t="shared" si="4"/>
        <v>55590.5256</v>
      </c>
      <c r="H16" s="10">
        <f t="shared" si="5"/>
        <v>9501.5</v>
      </c>
      <c r="I16" s="46" t="s">
        <v>87</v>
      </c>
      <c r="J16" s="47" t="s">
        <v>88</v>
      </c>
      <c r="K16" s="46" t="s">
        <v>89</v>
      </c>
      <c r="L16" s="46" t="s">
        <v>90</v>
      </c>
      <c r="M16" s="47" t="s">
        <v>65</v>
      </c>
      <c r="N16" s="47" t="s">
        <v>84</v>
      </c>
      <c r="O16" s="48" t="s">
        <v>85</v>
      </c>
      <c r="P16" s="49" t="s">
        <v>86</v>
      </c>
    </row>
    <row r="17" spans="1:16" ht="12.75" customHeight="1" thickBot="1" x14ac:dyDescent="0.25">
      <c r="A17" s="10" t="str">
        <f t="shared" si="0"/>
        <v>BAVM 215 </v>
      </c>
      <c r="B17" s="3" t="str">
        <f t="shared" si="1"/>
        <v>II</v>
      </c>
      <c r="C17" s="10">
        <f t="shared" si="2"/>
        <v>55592.248899999999</v>
      </c>
      <c r="D17" s="12" t="str">
        <f t="shared" si="3"/>
        <v>vis</v>
      </c>
      <c r="E17" s="45" t="s">
        <v>61</v>
      </c>
      <c r="F17" s="3" t="s">
        <v>59</v>
      </c>
      <c r="G17" s="12" t="str">
        <f t="shared" si="4"/>
        <v>55592.2489</v>
      </c>
      <c r="H17" s="10">
        <f t="shared" si="5"/>
        <v>9505.5</v>
      </c>
      <c r="I17" s="46" t="s">
        <v>91</v>
      </c>
      <c r="J17" s="47" t="s">
        <v>92</v>
      </c>
      <c r="K17" s="46" t="s">
        <v>93</v>
      </c>
      <c r="L17" s="46" t="s">
        <v>94</v>
      </c>
      <c r="M17" s="47" t="s">
        <v>65</v>
      </c>
      <c r="N17" s="47" t="s">
        <v>84</v>
      </c>
      <c r="O17" s="48" t="s">
        <v>85</v>
      </c>
      <c r="P17" s="49" t="s">
        <v>86</v>
      </c>
    </row>
    <row r="18" spans="1:16" ht="12.75" customHeight="1" thickBot="1" x14ac:dyDescent="0.25">
      <c r="A18" s="10" t="str">
        <f t="shared" si="0"/>
        <v>BAVM 215 </v>
      </c>
      <c r="B18" s="3" t="str">
        <f t="shared" si="1"/>
        <v>I</v>
      </c>
      <c r="C18" s="10">
        <f t="shared" si="2"/>
        <v>55599.356200000002</v>
      </c>
      <c r="D18" s="12" t="str">
        <f t="shared" si="3"/>
        <v>vis</v>
      </c>
      <c r="E18" s="45" t="s">
        <v>61</v>
      </c>
      <c r="F18" s="3" t="s">
        <v>59</v>
      </c>
      <c r="G18" s="12" t="str">
        <f t="shared" si="4"/>
        <v>55599.3562</v>
      </c>
      <c r="H18" s="10">
        <f t="shared" si="5"/>
        <v>9522</v>
      </c>
      <c r="I18" s="46" t="s">
        <v>95</v>
      </c>
      <c r="J18" s="47" t="s">
        <v>96</v>
      </c>
      <c r="K18" s="46" t="s">
        <v>97</v>
      </c>
      <c r="L18" s="46" t="s">
        <v>98</v>
      </c>
      <c r="M18" s="47" t="s">
        <v>65</v>
      </c>
      <c r="N18" s="47" t="s">
        <v>84</v>
      </c>
      <c r="O18" s="48" t="s">
        <v>85</v>
      </c>
      <c r="P18" s="49" t="s">
        <v>86</v>
      </c>
    </row>
    <row r="19" spans="1:16" ht="12.75" customHeight="1" thickBot="1" x14ac:dyDescent="0.25">
      <c r="A19" s="10" t="str">
        <f t="shared" si="0"/>
        <v>BAVM 215 </v>
      </c>
      <c r="B19" s="3" t="str">
        <f t="shared" si="1"/>
        <v>II</v>
      </c>
      <c r="C19" s="10">
        <f t="shared" si="2"/>
        <v>55599.570500000002</v>
      </c>
      <c r="D19" s="12" t="str">
        <f t="shared" si="3"/>
        <v>vis</v>
      </c>
      <c r="E19" s="45" t="s">
        <v>61</v>
      </c>
      <c r="F19" s="3" t="s">
        <v>59</v>
      </c>
      <c r="G19" s="12" t="str">
        <f t="shared" si="4"/>
        <v>55599.5705</v>
      </c>
      <c r="H19" s="10">
        <f t="shared" si="5"/>
        <v>9522.5</v>
      </c>
      <c r="I19" s="46" t="s">
        <v>99</v>
      </c>
      <c r="J19" s="47" t="s">
        <v>100</v>
      </c>
      <c r="K19" s="46" t="s">
        <v>101</v>
      </c>
      <c r="L19" s="46" t="s">
        <v>102</v>
      </c>
      <c r="M19" s="47" t="s">
        <v>65</v>
      </c>
      <c r="N19" s="47" t="s">
        <v>84</v>
      </c>
      <c r="O19" s="48" t="s">
        <v>85</v>
      </c>
      <c r="P19" s="49" t="s">
        <v>86</v>
      </c>
    </row>
    <row r="20" spans="1:16" ht="12.75" customHeight="1" thickBot="1" x14ac:dyDescent="0.25">
      <c r="A20" s="10" t="str">
        <f t="shared" si="0"/>
        <v>BAVM 220 </v>
      </c>
      <c r="B20" s="3" t="str">
        <f t="shared" si="1"/>
        <v>I</v>
      </c>
      <c r="C20" s="10">
        <f t="shared" si="2"/>
        <v>55627.356899999999</v>
      </c>
      <c r="D20" s="12" t="str">
        <f t="shared" si="3"/>
        <v>vis</v>
      </c>
      <c r="E20" s="45" t="s">
        <v>61</v>
      </c>
      <c r="F20" s="3" t="s">
        <v>59</v>
      </c>
      <c r="G20" s="12" t="str">
        <f t="shared" si="4"/>
        <v>55627.3569</v>
      </c>
      <c r="H20" s="10">
        <f t="shared" si="5"/>
        <v>9587</v>
      </c>
      <c r="I20" s="46" t="s">
        <v>103</v>
      </c>
      <c r="J20" s="47" t="s">
        <v>104</v>
      </c>
      <c r="K20" s="46" t="s">
        <v>105</v>
      </c>
      <c r="L20" s="46" t="s">
        <v>106</v>
      </c>
      <c r="M20" s="47" t="s">
        <v>65</v>
      </c>
      <c r="N20" s="47" t="s">
        <v>84</v>
      </c>
      <c r="O20" s="48" t="s">
        <v>85</v>
      </c>
      <c r="P20" s="49" t="s">
        <v>107</v>
      </c>
    </row>
    <row r="21" spans="1:16" ht="12.75" customHeight="1" thickBot="1" x14ac:dyDescent="0.25">
      <c r="A21" s="10" t="str">
        <f t="shared" si="0"/>
        <v>BAVM 220 </v>
      </c>
      <c r="B21" s="3" t="str">
        <f t="shared" si="1"/>
        <v>II</v>
      </c>
      <c r="C21" s="10">
        <f t="shared" si="2"/>
        <v>55627.570500000002</v>
      </c>
      <c r="D21" s="12" t="str">
        <f t="shared" si="3"/>
        <v>vis</v>
      </c>
      <c r="E21" s="45" t="s">
        <v>61</v>
      </c>
      <c r="F21" s="3" t="s">
        <v>59</v>
      </c>
      <c r="G21" s="12" t="str">
        <f t="shared" si="4"/>
        <v>55627.5705</v>
      </c>
      <c r="H21" s="10">
        <f t="shared" si="5"/>
        <v>9587.5</v>
      </c>
      <c r="I21" s="46" t="s">
        <v>108</v>
      </c>
      <c r="J21" s="47" t="s">
        <v>109</v>
      </c>
      <c r="K21" s="46" t="s">
        <v>110</v>
      </c>
      <c r="L21" s="46" t="s">
        <v>83</v>
      </c>
      <c r="M21" s="47" t="s">
        <v>65</v>
      </c>
      <c r="N21" s="47" t="s">
        <v>84</v>
      </c>
      <c r="O21" s="48" t="s">
        <v>85</v>
      </c>
      <c r="P21" s="49" t="s">
        <v>107</v>
      </c>
    </row>
    <row r="22" spans="1:16" ht="12.75" customHeight="1" thickBot="1" x14ac:dyDescent="0.25">
      <c r="A22" s="10" t="str">
        <f t="shared" si="0"/>
        <v>BAVM 220 </v>
      </c>
      <c r="B22" s="3" t="str">
        <f t="shared" si="1"/>
        <v>I</v>
      </c>
      <c r="C22" s="10">
        <f t="shared" si="2"/>
        <v>55670.430800000002</v>
      </c>
      <c r="D22" s="12" t="str">
        <f t="shared" si="3"/>
        <v>vis</v>
      </c>
      <c r="E22" s="45" t="s">
        <v>61</v>
      </c>
      <c r="F22" s="3" t="s">
        <v>59</v>
      </c>
      <c r="G22" s="12" t="str">
        <f t="shared" si="4"/>
        <v>55670.4308</v>
      </c>
      <c r="H22" s="10">
        <f t="shared" si="5"/>
        <v>9687</v>
      </c>
      <c r="I22" s="46" t="s">
        <v>111</v>
      </c>
      <c r="J22" s="47" t="s">
        <v>112</v>
      </c>
      <c r="K22" s="46" t="s">
        <v>113</v>
      </c>
      <c r="L22" s="46" t="s">
        <v>114</v>
      </c>
      <c r="M22" s="47" t="s">
        <v>65</v>
      </c>
      <c r="N22" s="47" t="s">
        <v>84</v>
      </c>
      <c r="O22" s="48" t="s">
        <v>85</v>
      </c>
      <c r="P22" s="49" t="s">
        <v>107</v>
      </c>
    </row>
    <row r="23" spans="1:16" ht="12.75" customHeight="1" thickBot="1" x14ac:dyDescent="0.25">
      <c r="A23" s="10" t="str">
        <f t="shared" si="0"/>
        <v>IBVS 6011 </v>
      </c>
      <c r="B23" s="3" t="str">
        <f t="shared" si="1"/>
        <v>I</v>
      </c>
      <c r="C23" s="10">
        <f t="shared" si="2"/>
        <v>55863.841999999997</v>
      </c>
      <c r="D23" s="12" t="str">
        <f t="shared" si="3"/>
        <v>vis</v>
      </c>
      <c r="E23" s="45" t="s">
        <v>61</v>
      </c>
      <c r="F23" s="3" t="s">
        <v>59</v>
      </c>
      <c r="G23" s="12" t="str">
        <f t="shared" si="4"/>
        <v>55863.8420</v>
      </c>
      <c r="H23" s="10">
        <f t="shared" si="5"/>
        <v>10136</v>
      </c>
      <c r="I23" s="46" t="s">
        <v>115</v>
      </c>
      <c r="J23" s="47" t="s">
        <v>116</v>
      </c>
      <c r="K23" s="46" t="s">
        <v>117</v>
      </c>
      <c r="L23" s="46" t="s">
        <v>118</v>
      </c>
      <c r="M23" s="47" t="s">
        <v>65</v>
      </c>
      <c r="N23" s="47" t="s">
        <v>59</v>
      </c>
      <c r="O23" s="48" t="s">
        <v>66</v>
      </c>
      <c r="P23" s="49" t="s">
        <v>119</v>
      </c>
    </row>
    <row r="24" spans="1:16" ht="12.75" customHeight="1" thickBot="1" x14ac:dyDescent="0.25">
      <c r="A24" s="10" t="str">
        <f t="shared" si="0"/>
        <v>IBVS 6042 </v>
      </c>
      <c r="B24" s="3" t="str">
        <f t="shared" si="1"/>
        <v>I</v>
      </c>
      <c r="C24" s="10">
        <f t="shared" si="2"/>
        <v>56230.842799999999</v>
      </c>
      <c r="D24" s="12" t="str">
        <f t="shared" si="3"/>
        <v>vis</v>
      </c>
      <c r="E24" s="45" t="s">
        <v>61</v>
      </c>
      <c r="F24" s="3" t="s">
        <v>59</v>
      </c>
      <c r="G24" s="12" t="str">
        <f t="shared" si="4"/>
        <v>56230.8428</v>
      </c>
      <c r="H24" s="10">
        <f t="shared" si="5"/>
        <v>10988</v>
      </c>
      <c r="I24" s="46" t="s">
        <v>120</v>
      </c>
      <c r="J24" s="47" t="s">
        <v>121</v>
      </c>
      <c r="K24" s="46" t="s">
        <v>122</v>
      </c>
      <c r="L24" s="46" t="s">
        <v>123</v>
      </c>
      <c r="M24" s="47" t="s">
        <v>65</v>
      </c>
      <c r="N24" s="47" t="s">
        <v>59</v>
      </c>
      <c r="O24" s="48" t="s">
        <v>66</v>
      </c>
      <c r="P24" s="49" t="s">
        <v>124</v>
      </c>
    </row>
    <row r="25" spans="1:16" ht="12.75" customHeight="1" thickBot="1" x14ac:dyDescent="0.25">
      <c r="A25" s="10" t="str">
        <f t="shared" si="0"/>
        <v>OEJV 0160 </v>
      </c>
      <c r="B25" s="3" t="str">
        <f t="shared" si="1"/>
        <v>I</v>
      </c>
      <c r="C25" s="10">
        <f t="shared" si="2"/>
        <v>56342.410989999997</v>
      </c>
      <c r="D25" s="12" t="str">
        <f t="shared" si="3"/>
        <v>vis</v>
      </c>
      <c r="E25" s="45" t="s">
        <v>61</v>
      </c>
      <c r="F25" s="3" t="s">
        <v>59</v>
      </c>
      <c r="G25" s="12" t="str">
        <f t="shared" si="4"/>
        <v>56342.41099</v>
      </c>
      <c r="H25" s="10">
        <f t="shared" si="5"/>
        <v>11247</v>
      </c>
      <c r="I25" s="46" t="s">
        <v>125</v>
      </c>
      <c r="J25" s="47" t="s">
        <v>126</v>
      </c>
      <c r="K25" s="46" t="s">
        <v>127</v>
      </c>
      <c r="L25" s="46" t="s">
        <v>128</v>
      </c>
      <c r="M25" s="47" t="s">
        <v>65</v>
      </c>
      <c r="N25" s="47" t="s">
        <v>51</v>
      </c>
      <c r="O25" s="48" t="s">
        <v>129</v>
      </c>
      <c r="P25" s="49" t="s">
        <v>130</v>
      </c>
    </row>
    <row r="26" spans="1:16" x14ac:dyDescent="0.2">
      <c r="B26" s="3"/>
      <c r="E26" s="45"/>
      <c r="F26" s="3"/>
    </row>
    <row r="27" spans="1:16" x14ac:dyDescent="0.2">
      <c r="B27" s="3"/>
      <c r="E27" s="45"/>
      <c r="F27" s="3"/>
    </row>
    <row r="28" spans="1:16" x14ac:dyDescent="0.2">
      <c r="B28" s="3"/>
      <c r="E28" s="45"/>
      <c r="F28" s="3"/>
    </row>
    <row r="29" spans="1:16" x14ac:dyDescent="0.2">
      <c r="B29" s="3"/>
      <c r="E29" s="45"/>
      <c r="F29" s="3"/>
    </row>
    <row r="30" spans="1:16" x14ac:dyDescent="0.2">
      <c r="B30" s="3"/>
      <c r="E30" s="45"/>
      <c r="F30" s="3"/>
    </row>
    <row r="31" spans="1:16" x14ac:dyDescent="0.2">
      <c r="B31" s="3"/>
      <c r="E31" s="45"/>
      <c r="F31" s="3"/>
    </row>
    <row r="32" spans="1:16" x14ac:dyDescent="0.2">
      <c r="B32" s="3"/>
      <c r="E32" s="45"/>
      <c r="F32" s="3"/>
    </row>
    <row r="33" spans="2:6" x14ac:dyDescent="0.2">
      <c r="B33" s="3"/>
      <c r="E33" s="45"/>
      <c r="F33" s="3"/>
    </row>
    <row r="34" spans="2:6" x14ac:dyDescent="0.2">
      <c r="B34" s="3"/>
      <c r="E34" s="45"/>
      <c r="F34" s="3"/>
    </row>
    <row r="35" spans="2:6" x14ac:dyDescent="0.2">
      <c r="B35" s="3"/>
      <c r="E35" s="45"/>
      <c r="F35" s="3"/>
    </row>
    <row r="36" spans="2:6" x14ac:dyDescent="0.2">
      <c r="B36" s="3"/>
      <c r="E36" s="45"/>
      <c r="F36" s="3"/>
    </row>
    <row r="37" spans="2:6" x14ac:dyDescent="0.2">
      <c r="B37" s="3"/>
      <c r="E37" s="45"/>
      <c r="F37" s="3"/>
    </row>
    <row r="38" spans="2:6" x14ac:dyDescent="0.2">
      <c r="B38" s="3"/>
      <c r="E38" s="45"/>
      <c r="F38" s="3"/>
    </row>
    <row r="39" spans="2:6" x14ac:dyDescent="0.2">
      <c r="B39" s="3"/>
      <c r="E39" s="45"/>
      <c r="F39" s="3"/>
    </row>
    <row r="40" spans="2:6" x14ac:dyDescent="0.2">
      <c r="B40" s="3"/>
      <c r="E40" s="45"/>
      <c r="F40" s="3"/>
    </row>
    <row r="41" spans="2:6" x14ac:dyDescent="0.2">
      <c r="B41" s="3"/>
      <c r="E41" s="45"/>
      <c r="F41" s="3"/>
    </row>
    <row r="42" spans="2:6" x14ac:dyDescent="0.2">
      <c r="B42" s="3"/>
      <c r="E42" s="45"/>
      <c r="F42" s="3"/>
    </row>
    <row r="43" spans="2:6" x14ac:dyDescent="0.2">
      <c r="B43" s="3"/>
      <c r="E43" s="45"/>
      <c r="F43" s="3"/>
    </row>
    <row r="44" spans="2:6" x14ac:dyDescent="0.2">
      <c r="B44" s="3"/>
      <c r="E44" s="45"/>
      <c r="F44" s="3"/>
    </row>
    <row r="45" spans="2:6" x14ac:dyDescent="0.2">
      <c r="B45" s="3"/>
      <c r="E45" s="45"/>
      <c r="F45" s="3"/>
    </row>
    <row r="46" spans="2:6" x14ac:dyDescent="0.2">
      <c r="B46" s="3"/>
      <c r="E46" s="45"/>
      <c r="F46" s="3"/>
    </row>
    <row r="47" spans="2:6" x14ac:dyDescent="0.2">
      <c r="B47" s="3"/>
      <c r="E47" s="45"/>
      <c r="F47" s="3"/>
    </row>
    <row r="48" spans="2:6" x14ac:dyDescent="0.2">
      <c r="B48" s="3"/>
      <c r="E48" s="45"/>
      <c r="F48" s="3"/>
    </row>
    <row r="49" spans="2:6" x14ac:dyDescent="0.2">
      <c r="B49" s="3"/>
      <c r="E49" s="45"/>
      <c r="F49" s="3"/>
    </row>
    <row r="50" spans="2:6" x14ac:dyDescent="0.2">
      <c r="B50" s="3"/>
      <c r="E50" s="45"/>
      <c r="F50" s="3"/>
    </row>
    <row r="51" spans="2:6" x14ac:dyDescent="0.2">
      <c r="B51" s="3"/>
      <c r="E51" s="45"/>
      <c r="F51" s="3"/>
    </row>
    <row r="52" spans="2:6" x14ac:dyDescent="0.2">
      <c r="B52" s="3"/>
      <c r="E52" s="45"/>
      <c r="F52" s="3"/>
    </row>
    <row r="53" spans="2:6" x14ac:dyDescent="0.2">
      <c r="B53" s="3"/>
      <c r="E53" s="45"/>
      <c r="F53" s="3"/>
    </row>
    <row r="54" spans="2:6" x14ac:dyDescent="0.2">
      <c r="B54" s="3"/>
      <c r="E54" s="45"/>
      <c r="F54" s="3"/>
    </row>
    <row r="55" spans="2:6" x14ac:dyDescent="0.2">
      <c r="B55" s="3"/>
      <c r="E55" s="45"/>
      <c r="F55" s="3"/>
    </row>
    <row r="56" spans="2:6" x14ac:dyDescent="0.2">
      <c r="B56" s="3"/>
      <c r="E56" s="45"/>
      <c r="F56" s="3"/>
    </row>
    <row r="57" spans="2:6" x14ac:dyDescent="0.2">
      <c r="B57" s="3"/>
      <c r="E57" s="45"/>
      <c r="F57" s="3"/>
    </row>
    <row r="58" spans="2:6" x14ac:dyDescent="0.2">
      <c r="B58" s="3"/>
      <c r="E58" s="45"/>
      <c r="F58" s="3"/>
    </row>
    <row r="59" spans="2:6" x14ac:dyDescent="0.2">
      <c r="B59" s="3"/>
      <c r="E59" s="45"/>
      <c r="F59" s="3"/>
    </row>
    <row r="60" spans="2:6" x14ac:dyDescent="0.2">
      <c r="B60" s="3"/>
      <c r="E60" s="45"/>
      <c r="F60" s="3"/>
    </row>
    <row r="61" spans="2:6" x14ac:dyDescent="0.2">
      <c r="B61" s="3"/>
      <c r="E61" s="45"/>
      <c r="F61" s="3"/>
    </row>
    <row r="62" spans="2:6" x14ac:dyDescent="0.2">
      <c r="B62" s="3"/>
      <c r="E62" s="45"/>
      <c r="F62" s="3"/>
    </row>
    <row r="63" spans="2:6" x14ac:dyDescent="0.2">
      <c r="B63" s="3"/>
      <c r="E63" s="45"/>
      <c r="F63" s="3"/>
    </row>
    <row r="64" spans="2:6" x14ac:dyDescent="0.2">
      <c r="B64" s="3"/>
      <c r="E64" s="45"/>
      <c r="F64" s="3"/>
    </row>
    <row r="65" spans="2:6" x14ac:dyDescent="0.2">
      <c r="B65" s="3"/>
      <c r="E65" s="45"/>
      <c r="F65" s="3"/>
    </row>
    <row r="66" spans="2:6" x14ac:dyDescent="0.2">
      <c r="B66" s="3"/>
      <c r="E66" s="45"/>
      <c r="F66" s="3"/>
    </row>
    <row r="67" spans="2:6" x14ac:dyDescent="0.2">
      <c r="B67" s="3"/>
      <c r="E67" s="45"/>
      <c r="F67" s="3"/>
    </row>
    <row r="68" spans="2:6" x14ac:dyDescent="0.2">
      <c r="B68" s="3"/>
      <c r="E68" s="45"/>
      <c r="F68" s="3"/>
    </row>
    <row r="69" spans="2:6" x14ac:dyDescent="0.2">
      <c r="B69" s="3"/>
      <c r="E69" s="45"/>
      <c r="F69" s="3"/>
    </row>
    <row r="70" spans="2:6" x14ac:dyDescent="0.2">
      <c r="B70" s="3"/>
      <c r="E70" s="45"/>
      <c r="F70" s="3"/>
    </row>
    <row r="71" spans="2:6" x14ac:dyDescent="0.2">
      <c r="B71" s="3"/>
      <c r="E71" s="45"/>
      <c r="F71" s="3"/>
    </row>
    <row r="72" spans="2:6" x14ac:dyDescent="0.2">
      <c r="B72" s="3"/>
      <c r="E72" s="45"/>
      <c r="F72" s="3"/>
    </row>
    <row r="73" spans="2:6" x14ac:dyDescent="0.2">
      <c r="B73" s="3"/>
      <c r="E73" s="45"/>
      <c r="F73" s="3"/>
    </row>
    <row r="74" spans="2:6" x14ac:dyDescent="0.2">
      <c r="B74" s="3"/>
      <c r="E74" s="45"/>
      <c r="F74" s="3"/>
    </row>
    <row r="75" spans="2:6" x14ac:dyDescent="0.2">
      <c r="B75" s="3"/>
      <c r="E75" s="45"/>
      <c r="F75" s="3"/>
    </row>
    <row r="76" spans="2:6" x14ac:dyDescent="0.2">
      <c r="B76" s="3"/>
      <c r="E76" s="45"/>
      <c r="F76" s="3"/>
    </row>
    <row r="77" spans="2:6" x14ac:dyDescent="0.2">
      <c r="B77" s="3"/>
      <c r="E77" s="45"/>
      <c r="F77" s="3"/>
    </row>
    <row r="78" spans="2:6" x14ac:dyDescent="0.2">
      <c r="B78" s="3"/>
      <c r="E78" s="45"/>
      <c r="F78" s="3"/>
    </row>
    <row r="79" spans="2:6" x14ac:dyDescent="0.2">
      <c r="B79" s="3"/>
      <c r="E79" s="45"/>
      <c r="F79" s="3"/>
    </row>
    <row r="80" spans="2:6" x14ac:dyDescent="0.2">
      <c r="B80" s="3"/>
      <c r="E80" s="45"/>
      <c r="F80" s="3"/>
    </row>
    <row r="81" spans="2:6" x14ac:dyDescent="0.2">
      <c r="B81" s="3"/>
      <c r="E81" s="45"/>
      <c r="F81" s="3"/>
    </row>
    <row r="82" spans="2:6" x14ac:dyDescent="0.2">
      <c r="B82" s="3"/>
      <c r="E82" s="45"/>
      <c r="F82" s="3"/>
    </row>
    <row r="83" spans="2:6" x14ac:dyDescent="0.2">
      <c r="B83" s="3"/>
      <c r="E83" s="45"/>
      <c r="F83" s="3"/>
    </row>
    <row r="84" spans="2:6" x14ac:dyDescent="0.2">
      <c r="B84" s="3"/>
      <c r="E84" s="45"/>
      <c r="F84" s="3"/>
    </row>
    <row r="85" spans="2:6" x14ac:dyDescent="0.2">
      <c r="B85" s="3"/>
      <c r="E85" s="45"/>
      <c r="F85" s="3"/>
    </row>
    <row r="86" spans="2:6" x14ac:dyDescent="0.2">
      <c r="B86" s="3"/>
      <c r="E86" s="45"/>
      <c r="F86" s="3"/>
    </row>
    <row r="87" spans="2:6" x14ac:dyDescent="0.2">
      <c r="B87" s="3"/>
      <c r="E87" s="45"/>
      <c r="F87" s="3"/>
    </row>
    <row r="88" spans="2:6" x14ac:dyDescent="0.2">
      <c r="B88" s="3"/>
      <c r="E88" s="45"/>
      <c r="F88" s="3"/>
    </row>
    <row r="89" spans="2:6" x14ac:dyDescent="0.2">
      <c r="B89" s="3"/>
      <c r="E89" s="45"/>
      <c r="F89" s="3"/>
    </row>
    <row r="90" spans="2:6" x14ac:dyDescent="0.2">
      <c r="B90" s="3"/>
      <c r="E90" s="45"/>
      <c r="F90" s="3"/>
    </row>
    <row r="91" spans="2:6" x14ac:dyDescent="0.2">
      <c r="B91" s="3"/>
      <c r="E91" s="45"/>
      <c r="F91" s="3"/>
    </row>
    <row r="92" spans="2:6" x14ac:dyDescent="0.2">
      <c r="B92" s="3"/>
      <c r="E92" s="45"/>
      <c r="F92" s="3"/>
    </row>
    <row r="93" spans="2:6" x14ac:dyDescent="0.2">
      <c r="B93" s="3"/>
      <c r="E93" s="45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</sheetData>
  <phoneticPr fontId="8" type="noConversion"/>
  <hyperlinks>
    <hyperlink ref="A3" r:id="rId1" xr:uid="{00000000-0004-0000-0100-000000000000}"/>
    <hyperlink ref="P11" r:id="rId2" display="http://www.konkoly.hu/cgi-bin/IBVS?5894" xr:uid="{00000000-0004-0000-0100-000001000000}"/>
    <hyperlink ref="P12" r:id="rId3" display="http://www.konkoly.hu/cgi-bin/IBVS?5929" xr:uid="{00000000-0004-0000-0100-000002000000}"/>
    <hyperlink ref="P13" r:id="rId4" display="http://www.konkoly.hu/cgi-bin/IBVS?5920" xr:uid="{00000000-0004-0000-0100-000003000000}"/>
    <hyperlink ref="P14" r:id="rId5" display="http://www.konkoly.hu/cgi-bin/IBVS?5960" xr:uid="{00000000-0004-0000-0100-000004000000}"/>
    <hyperlink ref="P15" r:id="rId6" display="http://www.bav-astro.de/sfs/BAVM_link.php?BAVMnr=215" xr:uid="{00000000-0004-0000-0100-000005000000}"/>
    <hyperlink ref="P16" r:id="rId7" display="http://www.bav-astro.de/sfs/BAVM_link.php?BAVMnr=215" xr:uid="{00000000-0004-0000-0100-000006000000}"/>
    <hyperlink ref="P17" r:id="rId8" display="http://www.bav-astro.de/sfs/BAVM_link.php?BAVMnr=215" xr:uid="{00000000-0004-0000-0100-000007000000}"/>
    <hyperlink ref="P18" r:id="rId9" display="http://www.bav-astro.de/sfs/BAVM_link.php?BAVMnr=215" xr:uid="{00000000-0004-0000-0100-000008000000}"/>
    <hyperlink ref="P19" r:id="rId10" display="http://www.bav-astro.de/sfs/BAVM_link.php?BAVMnr=215" xr:uid="{00000000-0004-0000-0100-000009000000}"/>
    <hyperlink ref="P20" r:id="rId11" display="http://www.bav-astro.de/sfs/BAVM_link.php?BAVMnr=220" xr:uid="{00000000-0004-0000-0100-00000A000000}"/>
    <hyperlink ref="P21" r:id="rId12" display="http://www.bav-astro.de/sfs/BAVM_link.php?BAVMnr=220" xr:uid="{00000000-0004-0000-0100-00000B000000}"/>
    <hyperlink ref="P22" r:id="rId13" display="http://www.bav-astro.de/sfs/BAVM_link.php?BAVMnr=220" xr:uid="{00000000-0004-0000-0100-00000C000000}"/>
    <hyperlink ref="P23" r:id="rId14" display="http://www.konkoly.hu/cgi-bin/IBVS?6011" xr:uid="{00000000-0004-0000-0100-00000D000000}"/>
    <hyperlink ref="P24" r:id="rId15" display="http://www.konkoly.hu/cgi-bin/IBVS?6042" xr:uid="{00000000-0004-0000-0100-00000E000000}"/>
    <hyperlink ref="P25" r:id="rId16" display="http://var.astro.cz/oejv/issues/oejv0160.pdf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 VSX</vt:lpstr>
      <vt:lpstr>Active 2 IBVS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2024-07-29T05:59:18Z</dcterms:modified>
</cp:coreProperties>
</file>