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2A4BE31-E743-4015-B17E-D5EC5AEE6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Q29" i="1"/>
  <c r="Q30" i="1"/>
  <c r="Q28" i="1"/>
  <c r="D9" i="1"/>
  <c r="C9" i="1"/>
  <c r="C7" i="1"/>
  <c r="E29" i="1"/>
  <c r="F29" i="1"/>
  <c r="C8" i="1"/>
  <c r="E22" i="1"/>
  <c r="F22" i="1"/>
  <c r="E27" i="1"/>
  <c r="F27" i="1"/>
  <c r="G27" i="1"/>
  <c r="K27" i="1"/>
  <c r="E26" i="1"/>
  <c r="F26" i="1"/>
  <c r="U26" i="1"/>
  <c r="G14" i="2"/>
  <c r="C14" i="2"/>
  <c r="E14" i="2"/>
  <c r="G15" i="2"/>
  <c r="C15" i="2"/>
  <c r="E15" i="2"/>
  <c r="G13" i="2"/>
  <c r="C13" i="2"/>
  <c r="G12" i="2"/>
  <c r="C12" i="2"/>
  <c r="G11" i="2"/>
  <c r="C11" i="2"/>
  <c r="E11" i="2"/>
  <c r="H14" i="2"/>
  <c r="D14" i="2"/>
  <c r="B14" i="2"/>
  <c r="A14" i="2"/>
  <c r="H15" i="2"/>
  <c r="B15" i="2"/>
  <c r="D15" i="2"/>
  <c r="A15" i="2"/>
  <c r="H13" i="2"/>
  <c r="D13" i="2"/>
  <c r="B13" i="2"/>
  <c r="A13" i="2"/>
  <c r="H12" i="2"/>
  <c r="B12" i="2"/>
  <c r="D12" i="2"/>
  <c r="A12" i="2"/>
  <c r="H11" i="2"/>
  <c r="D11" i="2"/>
  <c r="B11" i="2"/>
  <c r="A11" i="2"/>
  <c r="Q27" i="1"/>
  <c r="Q26" i="1"/>
  <c r="Q24" i="1"/>
  <c r="Q23" i="1"/>
  <c r="Q25" i="1"/>
  <c r="Q22" i="1"/>
  <c r="E21" i="1"/>
  <c r="F21" i="1"/>
  <c r="G21" i="1"/>
  <c r="I21" i="1"/>
  <c r="F16" i="1"/>
  <c r="C17" i="1"/>
  <c r="Q21" i="1"/>
  <c r="E12" i="2"/>
  <c r="E13" i="2"/>
  <c r="E24" i="1"/>
  <c r="F24" i="1"/>
  <c r="G24" i="1"/>
  <c r="K24" i="1"/>
  <c r="E28" i="1"/>
  <c r="F28" i="1"/>
  <c r="G28" i="1"/>
  <c r="K28" i="1"/>
  <c r="E30" i="1"/>
  <c r="F30" i="1"/>
  <c r="G30" i="1"/>
  <c r="K30" i="1"/>
  <c r="E23" i="1"/>
  <c r="F23" i="1"/>
  <c r="G23" i="1"/>
  <c r="K23" i="1"/>
  <c r="G22" i="1"/>
  <c r="G29" i="1"/>
  <c r="K29" i="1"/>
  <c r="E25" i="1"/>
  <c r="F25" i="1"/>
  <c r="G25" i="1"/>
  <c r="K25" i="1"/>
  <c r="K22" i="1"/>
  <c r="C12" i="1"/>
  <c r="C11" i="1"/>
  <c r="O31" i="1" l="1"/>
  <c r="C16" i="1"/>
  <c r="D18" i="1" s="1"/>
  <c r="O21" i="1"/>
  <c r="C15" i="1"/>
  <c r="F18" i="1" s="1"/>
  <c r="O24" i="1"/>
  <c r="O30" i="1"/>
  <c r="O22" i="1"/>
  <c r="O25" i="1"/>
  <c r="O27" i="1"/>
  <c r="O23" i="1"/>
  <c r="O29" i="1"/>
  <c r="O26" i="1"/>
  <c r="O28" i="1"/>
  <c r="F17" i="1"/>
  <c r="C18" i="1" l="1"/>
  <c r="F19" i="1"/>
</calcChain>
</file>

<file path=xl/sharedStrings.xml><?xml version="1.0" encoding="utf-8"?>
<sst xmlns="http://schemas.openxmlformats.org/spreadsheetml/2006/main" count="116" uniqueCount="90">
  <si>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</si>
  <si>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</si>
  <si>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</si>
  <si>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</si>
  <si>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</si>
  <si>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</si>
  <si>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</si>
  <si>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</si>
  <si>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</si>
  <si>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</si>
  <si>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</si>
  <si>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</si>
  <si>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</si>
  <si>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</si>
  <si>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</si>
  <si>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</si>
  <si>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</si>
  <si>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</si>
  <si>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</si>
  <si>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</si>
  <si>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</si>
  <si>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</si>
  <si>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</si>
  <si>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</si>
  <si>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</si>
  <si>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</si>
  <si>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</si>
  <si>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</si>
  <si>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</si>
  <si>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</si>
  <si>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</si>
  <si>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</si>
  <si>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</si>
  <si>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</si>
  <si>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</si>
  <si>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</si>
  <si>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</si>
  <si>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</si>
  <si>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6011</t>
  </si>
  <si>
    <t>I</t>
  </si>
  <si>
    <t>QU Cam / GSC 4514-1183</t>
  </si>
  <si>
    <t>EA</t>
  </si>
  <si>
    <t>OEJV 0160</t>
  </si>
  <si>
    <t>IBVS 6070</t>
  </si>
  <si>
    <t>IBVS 6092</t>
  </si>
  <si>
    <t>IBVS 6149</t>
  </si>
  <si>
    <t>OEJV 0168</t>
  </si>
  <si>
    <t>pg</t>
  </si>
  <si>
    <t>vis</t>
  </si>
  <si>
    <t>PE</t>
  </si>
  <si>
    <t>CCD</t>
  </si>
  <si>
    <t>BAD?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</si>
  <si>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</si>
  <si>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</si>
  <si>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</si>
  <si>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</si>
  <si>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</si>
  <si>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</si>
  <si>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</si>
  <si>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2455929.6670 </t>
  </si>
  <si>
    <t> 03.01.2012 04:00 </t>
  </si>
  <si>
    <t> -0.0441 </t>
  </si>
  <si>
    <t>C </t>
  </si>
  <si>
    <t> R.Diethelm </t>
  </si>
  <si>
    <t>IBVS 6011 </t>
  </si>
  <si>
    <t>2456009.35976 </t>
  </si>
  <si>
    <t> 22.03.2012 20:38 </t>
  </si>
  <si>
    <t> -0.04636 </t>
  </si>
  <si>
    <t>R</t>
  </si>
  <si>
    <t> F.Scaggiante </t>
  </si>
  <si>
    <t>OEJV 0160 </t>
  </si>
  <si>
    <t>2456178.5222 </t>
  </si>
  <si>
    <t> 08.09.2012 00:31 </t>
  </si>
  <si>
    <t> -0.0479 </t>
  </si>
  <si>
    <t> M.&amp; K.Rätz </t>
  </si>
  <si>
    <t>BAVM 231 </t>
  </si>
  <si>
    <t>2456629.622 </t>
  </si>
  <si>
    <t> 03.12.2013 02:55 </t>
  </si>
  <si>
    <t> -0.052 </t>
  </si>
  <si>
    <t> R.Nelson </t>
  </si>
  <si>
    <t>IBVS 6092 </t>
  </si>
  <si>
    <t>2456887.5048 </t>
  </si>
  <si>
    <t> 18.08.2014 00:06 </t>
  </si>
  <si>
    <t> -0.0504 </t>
  </si>
  <si>
    <t>-I</t>
  </si>
  <si>
    <t> F.Agerer </t>
  </si>
  <si>
    <t>BAVM 238 </t>
  </si>
  <si>
    <t>OEJV 0211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</si>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</sst>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7" fillId="0" borderId="8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Cam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B-494B-A9A1-C314F6D355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B-494B-A9A1-C314F6D355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B-494B-A9A1-C314F6D355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-4.4079999999667052E-2</c:v>
                </c:pt>
                <c:pt idx="2">
                  <c:v>-4.6360000000277068E-2</c:v>
                </c:pt>
                <c:pt idx="3">
                  <c:v>-4.7920000004523899E-2</c:v>
                </c:pt>
                <c:pt idx="4">
                  <c:v>-5.2082626789342612E-2</c:v>
                </c:pt>
                <c:pt idx="6">
                  <c:v>-5.392000000574626E-2</c:v>
                </c:pt>
                <c:pt idx="7">
                  <c:v>-5.9300000000803266E-2</c:v>
                </c:pt>
                <c:pt idx="8">
                  <c:v>-6.4049999775306787E-2</c:v>
                </c:pt>
                <c:pt idx="9">
                  <c:v>-6.4680000046791974E-2</c:v>
                </c:pt>
                <c:pt idx="10">
                  <c:v>-8.4179999998013955E-2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B-494B-A9A1-C314F6D355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B-494B-A9A1-C314F6D355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B-494B-A9A1-C314F6D355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B-494B-A9A1-C314F6D355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3.2764531058615126E-3</c:v>
                </c:pt>
                <c:pt idx="1">
                  <c:v>-4.4700673152609394E-2</c:v>
                </c:pt>
                <c:pt idx="2">
                  <c:v>-4.5564538514151418E-2</c:v>
                </c:pt>
                <c:pt idx="3">
                  <c:v>-4.7398214989122701E-2</c:v>
                </c:pt>
                <c:pt idx="4">
                  <c:v>-5.2288018922379463E-2</c:v>
                </c:pt>
                <c:pt idx="5">
                  <c:v>-5.5083356837557912E-2</c:v>
                </c:pt>
                <c:pt idx="6">
                  <c:v>-5.3380075134140136E-2</c:v>
                </c:pt>
                <c:pt idx="7">
                  <c:v>-5.9353785605935475E-2</c:v>
                </c:pt>
                <c:pt idx="8">
                  <c:v>-6.4708120912851635E-2</c:v>
                </c:pt>
                <c:pt idx="9">
                  <c:v>-6.5889823530055347E-2</c:v>
                </c:pt>
                <c:pt idx="10">
                  <c:v>-8.3289375859227313E-2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B-494B-A9A1-C314F6D355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5">
                  <c:v>-5.0439999999071006E-2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EB-494B-A9A1-C314F6D35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3736"/>
        <c:axId val="1"/>
      </c:scatterChart>
      <c:valAx>
        <c:axId val="69711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3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55B879-4E73-65D0-7D55-283F8218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25</v>
      </c>
      <c r="B2" t="s">
        <v>41</v>
      </c>
      <c r="D2" s="3"/>
    </row>
    <row r="3" spans="1:6" ht="13.5" thickBot="1"/>
    <row r="4" spans="1:6" ht="14.25" thickTop="1" thickBot="1">
      <c r="A4" s="5" t="s">
        <v>1</v>
      </c>
      <c r="C4" s="8">
        <v>51503.629000000001</v>
      </c>
      <c r="D4" s="9">
        <v>0.75183999999999995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2</v>
      </c>
    </row>
    <row r="7" spans="1:6">
      <c r="A7" t="s">
        <v>3</v>
      </c>
      <c r="C7">
        <f>+C4</f>
        <v>51503.629000000001</v>
      </c>
    </row>
    <row r="8" spans="1:6">
      <c r="A8" t="s">
        <v>4</v>
      </c>
      <c r="C8">
        <f>+D4</f>
        <v>0.75183999999999995</v>
      </c>
    </row>
    <row r="9" spans="1:6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21</v>
      </c>
      <c r="D10" s="4" t="s">
        <v>22</v>
      </c>
      <c r="E10" s="12"/>
    </row>
    <row r="11" spans="1:6">
      <c r="A11" s="12" t="s">
        <v>17</v>
      </c>
      <c r="B11" s="12"/>
      <c r="C11" s="23">
        <f ca="1">INTERCEPT(INDIRECT($D$9):G991,INDIRECT($C$9):F991)</f>
        <v>3.2764531058615126E-3</v>
      </c>
      <c r="D11" s="3"/>
      <c r="E11" s="12"/>
    </row>
    <row r="12" spans="1:6">
      <c r="A12" s="12" t="s">
        <v>18</v>
      </c>
      <c r="B12" s="12"/>
      <c r="C12" s="23">
        <f ca="1">SLOPE(INDIRECT($D$9):G991,INDIRECT($C$9):F991)</f>
        <v>-8.1496732220945989E-6</v>
      </c>
      <c r="D12" s="3"/>
      <c r="E12" s="12"/>
    </row>
    <row r="13" spans="1:6">
      <c r="A13" s="12" t="s">
        <v>20</v>
      </c>
      <c r="B13" s="12"/>
      <c r="C13" s="3" t="s">
        <v>15</v>
      </c>
    </row>
    <row r="14" spans="1:6">
      <c r="A14" s="12"/>
      <c r="B14" s="12"/>
      <c r="C14" s="12"/>
    </row>
    <row r="15" spans="1:6">
      <c r="A15" s="14" t="s">
        <v>19</v>
      </c>
      <c r="B15" s="12"/>
      <c r="C15" s="15">
        <f ca="1">(C7+C11)+(C8+C12)*INT(MAX(F21:F3532))</f>
        <v>59489.590190624142</v>
      </c>
      <c r="E15" s="16" t="s">
        <v>35</v>
      </c>
      <c r="F15" s="13">
        <v>1</v>
      </c>
    </row>
    <row r="16" spans="1:6">
      <c r="A16" s="18" t="s">
        <v>5</v>
      </c>
      <c r="B16" s="12"/>
      <c r="C16" s="19">
        <f ca="1">+C8+C12</f>
        <v>0.75183185032677791</v>
      </c>
      <c r="E16" s="16" t="s">
        <v>32</v>
      </c>
      <c r="F16" s="17">
        <f ca="1">NOW()+15018.5+$C$5/24</f>
        <v>60324.796384837959</v>
      </c>
    </row>
    <row r="17" spans="1:21" ht="13.5" thickBot="1">
      <c r="A17" s="16" t="s">
        <v>29</v>
      </c>
      <c r="B17" s="12"/>
      <c r="C17" s="12">
        <f>COUNT(C21:C2190)</f>
        <v>11</v>
      </c>
      <c r="E17" s="16" t="s">
        <v>36</v>
      </c>
      <c r="F17" s="17">
        <f ca="1">ROUND(2*(F16-$C$7)/$C$8,0)/2+F15</f>
        <v>11734</v>
      </c>
    </row>
    <row r="18" spans="1:21" ht="14.25" thickTop="1" thickBot="1">
      <c r="A18" s="18" t="s">
        <v>6</v>
      </c>
      <c r="B18" s="12"/>
      <c r="C18" s="21">
        <f ca="1">+C15</f>
        <v>59489.590190624142</v>
      </c>
      <c r="D18" s="22">
        <f ca="1">+C16</f>
        <v>0.75183185032677791</v>
      </c>
      <c r="E18" s="16" t="s">
        <v>37</v>
      </c>
      <c r="F18" s="25">
        <f ca="1">ROUND(2*(F16-$C$15)/$C$16,0)/2+F15</f>
        <v>1112</v>
      </c>
    </row>
    <row r="19" spans="1:21" ht="13.5" thickTop="1">
      <c r="E19" s="16" t="s">
        <v>33</v>
      </c>
      <c r="F19" s="20">
        <f ca="1">+$C$15+$C$16*F18-15018.5-$C$5/24</f>
        <v>45307.523041520857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5" t="s">
        <v>51</v>
      </c>
    </row>
    <row r="21" spans="1:21">
      <c r="A21" t="s">
        <v>13</v>
      </c>
      <c r="C21" s="10">
        <v>51503.629000000001</v>
      </c>
      <c r="D21" s="10" t="s">
        <v>15</v>
      </c>
      <c r="E21">
        <f t="shared" ref="E21:E27" si="0">+(C21-C$7)/C$8</f>
        <v>0</v>
      </c>
      <c r="F21">
        <f t="shared" ref="F21:F30" si="1">ROUND(2*E21,0)/2</f>
        <v>0</v>
      </c>
      <c r="G21">
        <f>+C21-(C$7+F21*C$8)</f>
        <v>0</v>
      </c>
      <c r="I21">
        <f>+G21</f>
        <v>0</v>
      </c>
      <c r="O21">
        <f t="shared" ref="O21:O27" ca="1" si="2">+C$11+C$12*$F21</f>
        <v>3.2764531058615126E-3</v>
      </c>
      <c r="Q21" s="2">
        <f t="shared" ref="Q21:Q27" si="3">+C21-15018.5</f>
        <v>36485.129000000001</v>
      </c>
      <c r="U21" s="36"/>
    </row>
    <row r="22" spans="1:21">
      <c r="A22" s="28" t="s">
        <v>38</v>
      </c>
      <c r="B22" s="29" t="s">
        <v>39</v>
      </c>
      <c r="C22" s="28">
        <v>55929.667000000001</v>
      </c>
      <c r="D22" s="28">
        <v>2.9999999999999997E-4</v>
      </c>
      <c r="E22">
        <f t="shared" si="0"/>
        <v>5886.9413705043635</v>
      </c>
      <c r="F22">
        <f t="shared" si="1"/>
        <v>5887</v>
      </c>
      <c r="G22">
        <f>+C22-(C$7+F22*C$8)</f>
        <v>-4.4079999999667052E-2</v>
      </c>
      <c r="K22">
        <f>+G22</f>
        <v>-4.4079999999667052E-2</v>
      </c>
      <c r="O22">
        <f t="shared" ca="1" si="2"/>
        <v>-4.4700673152609394E-2</v>
      </c>
      <c r="Q22" s="2">
        <f t="shared" si="3"/>
        <v>40911.167000000001</v>
      </c>
      <c r="U22" s="36"/>
    </row>
    <row r="23" spans="1:21">
      <c r="A23" s="30" t="s">
        <v>42</v>
      </c>
      <c r="B23" s="31" t="s">
        <v>39</v>
      </c>
      <c r="C23" s="32">
        <v>56009.359759999999</v>
      </c>
      <c r="D23" s="32">
        <v>1E-4</v>
      </c>
      <c r="E23">
        <f t="shared" si="0"/>
        <v>5992.9383379442415</v>
      </c>
      <c r="F23">
        <f t="shared" si="1"/>
        <v>5993</v>
      </c>
      <c r="G23">
        <f>+C23-(C$7+F23*C$8)</f>
        <v>-4.6360000000277068E-2</v>
      </c>
      <c r="K23">
        <f>+G23</f>
        <v>-4.6360000000277068E-2</v>
      </c>
      <c r="O23">
        <f t="shared" ca="1" si="2"/>
        <v>-4.5564538514151418E-2</v>
      </c>
      <c r="Q23" s="2">
        <f t="shared" si="3"/>
        <v>40990.859759999999</v>
      </c>
      <c r="U23" s="36"/>
    </row>
    <row r="24" spans="1:21">
      <c r="A24" s="30" t="s">
        <v>43</v>
      </c>
      <c r="B24" s="31" t="s">
        <v>39</v>
      </c>
      <c r="C24" s="32">
        <v>56178.522199999999</v>
      </c>
      <c r="D24" s="32">
        <v>2.0000000000000001E-4</v>
      </c>
      <c r="E24">
        <f t="shared" si="0"/>
        <v>6217.9362630346868</v>
      </c>
      <c r="F24">
        <f t="shared" si="1"/>
        <v>6218</v>
      </c>
      <c r="G24">
        <f>+C24-(C$7+F24*C$8)</f>
        <v>-4.7920000004523899E-2</v>
      </c>
      <c r="K24">
        <f>+G24</f>
        <v>-4.7920000004523899E-2</v>
      </c>
      <c r="O24">
        <f t="shared" ca="1" si="2"/>
        <v>-4.7398214989122701E-2</v>
      </c>
      <c r="Q24" s="2">
        <f t="shared" si="3"/>
        <v>41160.022199999999</v>
      </c>
      <c r="U24" s="36"/>
    </row>
    <row r="25" spans="1:21">
      <c r="A25" s="33" t="s">
        <v>44</v>
      </c>
      <c r="B25" s="34"/>
      <c r="C25" s="32">
        <v>56629.622037373214</v>
      </c>
      <c r="D25" s="32">
        <v>1E-4</v>
      </c>
      <c r="E25">
        <f t="shared" si="0"/>
        <v>6817.9307264487306</v>
      </c>
      <c r="F25">
        <f t="shared" si="1"/>
        <v>6818</v>
      </c>
      <c r="G25">
        <f>+C25-(C$7+F25*C$8)</f>
        <v>-5.2082626789342612E-2</v>
      </c>
      <c r="K25">
        <f>+G25</f>
        <v>-5.2082626789342612E-2</v>
      </c>
      <c r="O25">
        <f t="shared" ca="1" si="2"/>
        <v>-5.2288018922379463E-2</v>
      </c>
      <c r="Q25" s="2">
        <f t="shared" si="3"/>
        <v>41611.122037373214</v>
      </c>
      <c r="U25" s="36"/>
    </row>
    <row r="26" spans="1:21">
      <c r="A26" s="50" t="s">
        <v>45</v>
      </c>
      <c r="B26" s="51" t="s">
        <v>39</v>
      </c>
      <c r="C26" s="50">
        <v>56887.504800000002</v>
      </c>
      <c r="D26" s="50">
        <v>3.3999999999999998E-3</v>
      </c>
      <c r="E26">
        <f t="shared" si="0"/>
        <v>7160.932911257717</v>
      </c>
      <c r="F26">
        <f t="shared" si="1"/>
        <v>7161</v>
      </c>
      <c r="O26">
        <f t="shared" ca="1" si="2"/>
        <v>-5.5083356837557912E-2</v>
      </c>
      <c r="Q26" s="2">
        <f t="shared" si="3"/>
        <v>41869.004800000002</v>
      </c>
      <c r="U26" s="36">
        <f>+C26-(C$7+F26*C$8)</f>
        <v>-5.0439999999071006E-2</v>
      </c>
    </row>
    <row r="27" spans="1:21">
      <c r="A27" s="32" t="s">
        <v>46</v>
      </c>
      <c r="B27" s="31" t="s">
        <v>39</v>
      </c>
      <c r="C27" s="52">
        <v>56730.366759999997</v>
      </c>
      <c r="D27" s="32">
        <v>1E-4</v>
      </c>
      <c r="E27">
        <f t="shared" si="0"/>
        <v>6951.9282826133176</v>
      </c>
      <c r="F27">
        <f t="shared" si="1"/>
        <v>6952</v>
      </c>
      <c r="G27">
        <f>+C27-(C$7+F27*C$8)</f>
        <v>-5.392000000574626E-2</v>
      </c>
      <c r="K27">
        <f>+G27</f>
        <v>-5.392000000574626E-2</v>
      </c>
      <c r="O27">
        <f t="shared" ca="1" si="2"/>
        <v>-5.3380075134140136E-2</v>
      </c>
      <c r="Q27" s="2">
        <f t="shared" si="3"/>
        <v>41711.866759999997</v>
      </c>
      <c r="U27" s="36"/>
    </row>
    <row r="28" spans="1:21">
      <c r="A28" s="53" t="s">
        <v>0</v>
      </c>
      <c r="B28" s="54" t="s">
        <v>39</v>
      </c>
      <c r="C28" s="55">
        <v>57281.460099999997</v>
      </c>
      <c r="D28" s="55">
        <v>1E-3</v>
      </c>
      <c r="E28">
        <f>+(C28-C$7)/C$8</f>
        <v>7684.921126835492</v>
      </c>
      <c r="F28">
        <f t="shared" si="1"/>
        <v>7685</v>
      </c>
      <c r="G28">
        <f>+C28-(C$7+F28*C$8)</f>
        <v>-5.9300000000803266E-2</v>
      </c>
      <c r="K28">
        <f>+G28</f>
        <v>-5.9300000000803266E-2</v>
      </c>
      <c r="O28">
        <f ca="1">+C$11+C$12*$F28</f>
        <v>-5.9353785605935475E-2</v>
      </c>
      <c r="Q28" s="2">
        <f>+C28-15018.5</f>
        <v>42262.960099999997</v>
      </c>
    </row>
    <row r="29" spans="1:21">
      <c r="A29" s="56" t="s">
        <v>87</v>
      </c>
      <c r="B29" s="57" t="s">
        <v>39</v>
      </c>
      <c r="C29" s="58">
        <v>57775.414230000228</v>
      </c>
      <c r="D29" s="58">
        <v>1E-4</v>
      </c>
      <c r="E29">
        <f>+(C29-C$7)/C$8</f>
        <v>8341.9148090022172</v>
      </c>
      <c r="F29">
        <f t="shared" si="1"/>
        <v>8342</v>
      </c>
      <c r="G29">
        <f>+C29-(C$7+F29*C$8)</f>
        <v>-6.4049999775306787E-2</v>
      </c>
      <c r="K29">
        <f>+G29</f>
        <v>-6.4049999775306787E-2</v>
      </c>
      <c r="O29">
        <f ca="1">+C$11+C$12*$F29</f>
        <v>-6.4708120912851635E-2</v>
      </c>
      <c r="Q29" s="2">
        <f>+C29-15018.5</f>
        <v>42756.914230000228</v>
      </c>
    </row>
    <row r="30" spans="1:21">
      <c r="A30" s="56" t="s">
        <v>87</v>
      </c>
      <c r="B30" s="57" t="s">
        <v>88</v>
      </c>
      <c r="C30" s="58">
        <v>57884.430399999954</v>
      </c>
      <c r="D30" s="58">
        <v>1E-4</v>
      </c>
      <c r="E30">
        <f>+(C30-C$7)/C$8</f>
        <v>8486.9139710576092</v>
      </c>
      <c r="F30">
        <f t="shared" si="1"/>
        <v>8487</v>
      </c>
      <c r="G30">
        <f>+C30-(C$7+F30*C$8)</f>
        <v>-6.4680000046791974E-2</v>
      </c>
      <c r="K30">
        <f>+G30</f>
        <v>-6.4680000046791974E-2</v>
      </c>
      <c r="O30">
        <f ca="1">+C$11+C$12*$F30</f>
        <v>-6.5889823530055347E-2</v>
      </c>
      <c r="Q30" s="2">
        <f>+C30-15018.5</f>
        <v>42865.930399999954</v>
      </c>
    </row>
    <row r="31" spans="1:21">
      <c r="A31" s="59" t="s">
        <v>89</v>
      </c>
      <c r="B31" s="60" t="s">
        <v>39</v>
      </c>
      <c r="C31" s="61">
        <v>59489.5893</v>
      </c>
      <c r="D31" s="59">
        <v>1.1000000000000001E-3</v>
      </c>
      <c r="E31">
        <f>+(C31-C$7)/C$8</f>
        <v>10621.888034688231</v>
      </c>
      <c r="F31">
        <f t="shared" ref="F31" si="4">ROUND(2*E31,0)/2</f>
        <v>10622</v>
      </c>
      <c r="G31">
        <f>+C31-(C$7+F31*C$8)</f>
        <v>-8.4179999998013955E-2</v>
      </c>
      <c r="K31">
        <f>+G31</f>
        <v>-8.4179999998013955E-2</v>
      </c>
      <c r="O31">
        <f ca="1">+C$11+C$12*$F31</f>
        <v>-8.3289375859227313E-2</v>
      </c>
      <c r="Q31" s="2">
        <f>+C31-15018.5</f>
        <v>44471.0893</v>
      </c>
    </row>
    <row r="32" spans="1:21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rotectedRanges>
    <protectedRange sqref="A29:D30" name="Range1"/>
  </protectedRanges>
  <phoneticPr fontId="8" type="noConversion"/>
  <hyperlinks>
    <hyperlink ref="H261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0"/>
  <sheetViews>
    <sheetView workbookViewId="0">
      <selection activeCell="A15" sqref="A15:D15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52</v>
      </c>
      <c r="I1" s="38" t="s">
        <v>53</v>
      </c>
      <c r="J1" s="39" t="s">
        <v>50</v>
      </c>
    </row>
    <row r="2" spans="1:16">
      <c r="I2" s="40" t="s">
        <v>54</v>
      </c>
      <c r="J2" s="41" t="s">
        <v>49</v>
      </c>
    </row>
    <row r="3" spans="1:16">
      <c r="A3" s="42" t="s">
        <v>55</v>
      </c>
      <c r="I3" s="40" t="s">
        <v>56</v>
      </c>
      <c r="J3" s="41" t="s">
        <v>47</v>
      </c>
    </row>
    <row r="4" spans="1:16">
      <c r="I4" s="40" t="s">
        <v>57</v>
      </c>
      <c r="J4" s="41" t="s">
        <v>47</v>
      </c>
    </row>
    <row r="5" spans="1:16" ht="13.5" thickBot="1">
      <c r="I5" s="43" t="s">
        <v>58</v>
      </c>
      <c r="J5" s="44" t="s">
        <v>48</v>
      </c>
    </row>
    <row r="10" spans="1:16" ht="13.5" thickBot="1"/>
    <row r="11" spans="1:16" ht="12.75" customHeight="1" thickBot="1">
      <c r="A11" s="10" t="str">
        <f>P11</f>
        <v>IBVS 6011 </v>
      </c>
      <c r="B11" s="3" t="str">
        <f>IF(H11=INT(H11),"I","II")</f>
        <v>I</v>
      </c>
      <c r="C11" s="10">
        <f>1*G11</f>
        <v>55929.667000000001</v>
      </c>
      <c r="D11" s="12" t="str">
        <f>VLOOKUP(F11,I$1:J$5,2,FALSE)</f>
        <v>vis</v>
      </c>
      <c r="E11" s="45">
        <f>VLOOKUP(C11,Active!C$21:E$972,3,FALSE)</f>
        <v>5886.9413705043635</v>
      </c>
      <c r="F11" s="3" t="s">
        <v>58</v>
      </c>
      <c r="G11" s="12" t="str">
        <f>MID(I11,3,LEN(I11)-3)</f>
        <v>55929.6670</v>
      </c>
      <c r="H11" s="10">
        <f>1*K11</f>
        <v>5887</v>
      </c>
      <c r="I11" s="46" t="s">
        <v>59</v>
      </c>
      <c r="J11" s="47" t="s">
        <v>60</v>
      </c>
      <c r="K11" s="46">
        <v>5887</v>
      </c>
      <c r="L11" s="46" t="s">
        <v>61</v>
      </c>
      <c r="M11" s="47" t="s">
        <v>62</v>
      </c>
      <c r="N11" s="47" t="s">
        <v>58</v>
      </c>
      <c r="O11" s="48" t="s">
        <v>63</v>
      </c>
      <c r="P11" s="49" t="s">
        <v>64</v>
      </c>
    </row>
    <row r="12" spans="1:16" ht="12.75" customHeight="1" thickBot="1">
      <c r="A12" s="10" t="str">
        <f>P12</f>
        <v>OEJV 0160 </v>
      </c>
      <c r="B12" s="3" t="str">
        <f>IF(H12=INT(H12),"I","II")</f>
        <v>I</v>
      </c>
      <c r="C12" s="10">
        <f>1*G12</f>
        <v>56009.359759999999</v>
      </c>
      <c r="D12" s="12" t="str">
        <f>VLOOKUP(F12,I$1:J$5,2,FALSE)</f>
        <v>vis</v>
      </c>
      <c r="E12" s="45">
        <f>VLOOKUP(C12,Active!C$21:E$972,3,FALSE)</f>
        <v>5992.9383379442415</v>
      </c>
      <c r="F12" s="3" t="s">
        <v>58</v>
      </c>
      <c r="G12" s="12" t="str">
        <f>MID(I12,3,LEN(I12)-3)</f>
        <v>56009.35976</v>
      </c>
      <c r="H12" s="10">
        <f>1*K12</f>
        <v>5993</v>
      </c>
      <c r="I12" s="46" t="s">
        <v>65</v>
      </c>
      <c r="J12" s="47" t="s">
        <v>66</v>
      </c>
      <c r="K12" s="46">
        <v>5993</v>
      </c>
      <c r="L12" s="46" t="s">
        <v>67</v>
      </c>
      <c r="M12" s="47" t="s">
        <v>62</v>
      </c>
      <c r="N12" s="47" t="s">
        <v>68</v>
      </c>
      <c r="O12" s="48" t="s">
        <v>69</v>
      </c>
      <c r="P12" s="49" t="s">
        <v>70</v>
      </c>
    </row>
    <row r="13" spans="1:16" ht="12.75" customHeight="1" thickBot="1">
      <c r="A13" s="10" t="str">
        <f>P13</f>
        <v>BAVM 231 </v>
      </c>
      <c r="B13" s="3" t="str">
        <f>IF(H13=INT(H13),"I","II")</f>
        <v>I</v>
      </c>
      <c r="C13" s="10">
        <f>1*G13</f>
        <v>56178.522199999999</v>
      </c>
      <c r="D13" s="12" t="str">
        <f>VLOOKUP(F13,I$1:J$5,2,FALSE)</f>
        <v>vis</v>
      </c>
      <c r="E13" s="45">
        <f>VLOOKUP(C13,Active!C$21:E$972,3,FALSE)</f>
        <v>6217.9362630346868</v>
      </c>
      <c r="F13" s="3" t="s">
        <v>58</v>
      </c>
      <c r="G13" s="12" t="str">
        <f>MID(I13,3,LEN(I13)-3)</f>
        <v>56178.5222</v>
      </c>
      <c r="H13" s="10">
        <f>1*K13</f>
        <v>6218</v>
      </c>
      <c r="I13" s="46" t="s">
        <v>71</v>
      </c>
      <c r="J13" s="47" t="s">
        <v>72</v>
      </c>
      <c r="K13" s="46">
        <v>6218</v>
      </c>
      <c r="L13" s="46" t="s">
        <v>73</v>
      </c>
      <c r="M13" s="47" t="s">
        <v>62</v>
      </c>
      <c r="N13" s="47" t="s">
        <v>68</v>
      </c>
      <c r="O13" s="48" t="s">
        <v>74</v>
      </c>
      <c r="P13" s="49" t="s">
        <v>75</v>
      </c>
    </row>
    <row r="14" spans="1:16" ht="12.75" customHeight="1" thickBot="1">
      <c r="A14" s="10" t="str">
        <f>P14</f>
        <v>BAVM 238 </v>
      </c>
      <c r="B14" s="3" t="str">
        <f>IF(H14=INT(H14),"I","II")</f>
        <v>I</v>
      </c>
      <c r="C14" s="10">
        <f>1*G14</f>
        <v>56887.504800000002</v>
      </c>
      <c r="D14" s="12" t="str">
        <f>VLOOKUP(F14,I$1:J$5,2,FALSE)</f>
        <v>vis</v>
      </c>
      <c r="E14" s="45">
        <f>VLOOKUP(C14,Active!C$21:E$972,3,FALSE)</f>
        <v>7160.932911257717</v>
      </c>
      <c r="F14" s="3" t="s">
        <v>58</v>
      </c>
      <c r="G14" s="12" t="str">
        <f>MID(I14,3,LEN(I14)-3)</f>
        <v>56887.5048</v>
      </c>
      <c r="H14" s="10">
        <f>1*K14</f>
        <v>7161</v>
      </c>
      <c r="I14" s="46" t="s">
        <v>81</v>
      </c>
      <c r="J14" s="47" t="s">
        <v>82</v>
      </c>
      <c r="K14" s="46">
        <v>7161</v>
      </c>
      <c r="L14" s="46" t="s">
        <v>83</v>
      </c>
      <c r="M14" s="47" t="s">
        <v>62</v>
      </c>
      <c r="N14" s="47" t="s">
        <v>84</v>
      </c>
      <c r="O14" s="48" t="s">
        <v>85</v>
      </c>
      <c r="P14" s="49" t="s">
        <v>86</v>
      </c>
    </row>
    <row r="15" spans="1:16" ht="12.75" customHeight="1" thickBot="1">
      <c r="A15" s="10" t="str">
        <f>P15</f>
        <v>IBVS 6092 </v>
      </c>
      <c r="B15" s="3" t="str">
        <f>IF(H15=INT(H15),"I","II")</f>
        <v>I</v>
      </c>
      <c r="C15" s="10">
        <f>1*G15</f>
        <v>56629.622000000003</v>
      </c>
      <c r="D15" s="12" t="str">
        <f>VLOOKUP(F15,I$1:J$5,2,FALSE)</f>
        <v>vis</v>
      </c>
      <c r="E15" s="45" t="e">
        <f>VLOOKUP(C15,Active!C$21:E$972,3,FALSE)</f>
        <v>#N/A</v>
      </c>
      <c r="F15" s="3" t="s">
        <v>58</v>
      </c>
      <c r="G15" s="12" t="str">
        <f>MID(I15,3,LEN(I15)-3)</f>
        <v>56629.622</v>
      </c>
      <c r="H15" s="10">
        <f>1*K15</f>
        <v>6818</v>
      </c>
      <c r="I15" s="46" t="s">
        <v>76</v>
      </c>
      <c r="J15" s="47" t="s">
        <v>77</v>
      </c>
      <c r="K15" s="46">
        <v>6818</v>
      </c>
      <c r="L15" s="46" t="s">
        <v>78</v>
      </c>
      <c r="M15" s="47" t="s">
        <v>62</v>
      </c>
      <c r="N15" s="47" t="s">
        <v>53</v>
      </c>
      <c r="O15" s="48" t="s">
        <v>79</v>
      </c>
      <c r="P15" s="49" t="s">
        <v>80</v>
      </c>
    </row>
    <row r="16" spans="1:16">
      <c r="B16" s="3"/>
      <c r="F16" s="3"/>
    </row>
    <row r="17" spans="2:6">
      <c r="B17" s="3"/>
      <c r="F17" s="3"/>
    </row>
    <row r="18" spans="2:6">
      <c r="B18" s="3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</sheetData>
  <phoneticPr fontId="8" type="noConversion"/>
  <hyperlinks>
    <hyperlink ref="A3" r:id="rId1" xr:uid="{00000000-0004-0000-0100-000000000000}"/>
    <hyperlink ref="P11" r:id="rId2" display="http://www.konkoly.hu/cgi-bin/IBVS?6011" xr:uid="{00000000-0004-0000-0100-000001000000}"/>
    <hyperlink ref="P12" r:id="rId3" display="http://var.astro.cz/oejv/issues/oejv0160.pdf" xr:uid="{00000000-0004-0000-0100-000002000000}"/>
    <hyperlink ref="P13" r:id="rId4" display="http://www.bav-astro.de/sfs/BAVM_link.php?BAVMnr=231" xr:uid="{00000000-0004-0000-0100-000003000000}"/>
    <hyperlink ref="P15" r:id="rId5" display="http://www.konkoly.hu/cgi-bin/IBVS?6092" xr:uid="{00000000-0004-0000-0100-000004000000}"/>
    <hyperlink ref="P14" r:id="rId6" display="http://www.bav-astro.de/sfs/BAVM_link.php?BAVMnr=238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2024-01-15T06:06:47Z</dcterms:modified>
</cp:coreProperties>
</file>