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9974080-A981-4377-8623-F67C72722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41" i="3" l="1"/>
  <c r="F41" i="3"/>
  <c r="G41" i="3" s="1"/>
  <c r="K41" i="3" s="1"/>
  <c r="Q41" i="3"/>
  <c r="E42" i="3"/>
  <c r="F42" i="3" s="1"/>
  <c r="G42" i="3" s="1"/>
  <c r="K42" i="3" s="1"/>
  <c r="Q42" i="3"/>
  <c r="E43" i="3"/>
  <c r="F43" i="3"/>
  <c r="G43" i="3" s="1"/>
  <c r="K43" i="3" s="1"/>
  <c r="Q43" i="3"/>
  <c r="E33" i="3"/>
  <c r="F33" i="3"/>
  <c r="G33" i="3"/>
  <c r="K33" i="3"/>
  <c r="Q33" i="3"/>
  <c r="E34" i="3"/>
  <c r="F34" i="3"/>
  <c r="G34" i="3"/>
  <c r="K34" i="3"/>
  <c r="Q34" i="3"/>
  <c r="E35" i="3"/>
  <c r="F35" i="3"/>
  <c r="G35" i="3"/>
  <c r="K35" i="3"/>
  <c r="Q35" i="3"/>
  <c r="E36" i="3"/>
  <c r="F36" i="3"/>
  <c r="G36" i="3"/>
  <c r="K36" i="3"/>
  <c r="Q36" i="3"/>
  <c r="E37" i="3"/>
  <c r="F37" i="3"/>
  <c r="G37" i="3"/>
  <c r="K37" i="3"/>
  <c r="Q37" i="3"/>
  <c r="E38" i="3"/>
  <c r="F38" i="3"/>
  <c r="G38" i="3"/>
  <c r="K38" i="3"/>
  <c r="Q38" i="3"/>
  <c r="E39" i="3"/>
  <c r="F39" i="3"/>
  <c r="G39" i="3"/>
  <c r="K39" i="3"/>
  <c r="Q39" i="3"/>
  <c r="E40" i="3"/>
  <c r="F40" i="3"/>
  <c r="G40" i="3"/>
  <c r="K40" i="3"/>
  <c r="Q40" i="3"/>
  <c r="F36" i="1"/>
  <c r="G36" i="1"/>
  <c r="K36" i="1"/>
  <c r="E34" i="1"/>
  <c r="F34" i="1"/>
  <c r="G34" i="1"/>
  <c r="K34" i="1"/>
  <c r="E35" i="1"/>
  <c r="F35" i="1"/>
  <c r="G35" i="1"/>
  <c r="K35" i="1"/>
  <c r="E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21" i="1"/>
  <c r="F21" i="1"/>
  <c r="G21" i="1"/>
  <c r="I21" i="1"/>
  <c r="E22" i="1"/>
  <c r="F22" i="1"/>
  <c r="G22" i="1"/>
  <c r="J22" i="1"/>
  <c r="E23" i="1"/>
  <c r="F23" i="1"/>
  <c r="G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J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Q35" i="1"/>
  <c r="Q36" i="1"/>
  <c r="Q37" i="1"/>
  <c r="Q38" i="1"/>
  <c r="Q39" i="1"/>
  <c r="Q40" i="1"/>
  <c r="Q34" i="1"/>
  <c r="Q33" i="1"/>
  <c r="F23" i="3"/>
  <c r="F28" i="3"/>
  <c r="G28" i="3"/>
  <c r="K28" i="3"/>
  <c r="C9" i="3"/>
  <c r="D9" i="3"/>
  <c r="E21" i="3"/>
  <c r="F21" i="3"/>
  <c r="G21" i="3"/>
  <c r="I21" i="3"/>
  <c r="E22" i="3"/>
  <c r="F22" i="3"/>
  <c r="G22" i="3"/>
  <c r="K22" i="3"/>
  <c r="E23" i="3"/>
  <c r="G23" i="3"/>
  <c r="E24" i="3"/>
  <c r="F24" i="3"/>
  <c r="G24" i="3"/>
  <c r="K24" i="3"/>
  <c r="E25" i="3"/>
  <c r="F25" i="3"/>
  <c r="G25" i="3"/>
  <c r="J25" i="3"/>
  <c r="E26" i="3"/>
  <c r="F26" i="3"/>
  <c r="G26" i="3"/>
  <c r="K26" i="3"/>
  <c r="E27" i="3"/>
  <c r="F27" i="3"/>
  <c r="G27" i="3"/>
  <c r="E28" i="3"/>
  <c r="E29" i="3"/>
  <c r="F29" i="3"/>
  <c r="G29" i="3"/>
  <c r="K29" i="3"/>
  <c r="E30" i="3"/>
  <c r="F30" i="3"/>
  <c r="G30" i="3"/>
  <c r="J30" i="3"/>
  <c r="E31" i="3"/>
  <c r="F31" i="3"/>
  <c r="G31" i="3"/>
  <c r="K31" i="3"/>
  <c r="E32" i="3"/>
  <c r="F32" i="3"/>
  <c r="G32" i="3"/>
  <c r="K32" i="3"/>
  <c r="F16" i="3"/>
  <c r="F17" i="3" s="1"/>
  <c r="C17" i="3"/>
  <c r="Q21" i="3"/>
  <c r="Q22" i="3"/>
  <c r="K23" i="3"/>
  <c r="Q23" i="3"/>
  <c r="Q24" i="3"/>
  <c r="Q25" i="3"/>
  <c r="Q26" i="3"/>
  <c r="K27" i="3"/>
  <c r="Q27" i="3"/>
  <c r="Q28" i="3"/>
  <c r="Q29" i="3"/>
  <c r="Q30" i="3"/>
  <c r="Q31" i="3"/>
  <c r="Q32" i="3"/>
  <c r="D9" i="1"/>
  <c r="C9" i="1"/>
  <c r="Q21" i="1"/>
  <c r="Q26" i="1"/>
  <c r="Q30" i="1"/>
  <c r="Q31" i="1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9" i="2"/>
  <c r="B19" i="2"/>
  <c r="D19" i="2"/>
  <c r="A19" i="2"/>
  <c r="H22" i="2"/>
  <c r="D22" i="2"/>
  <c r="B22" i="2"/>
  <c r="A22" i="2"/>
  <c r="H21" i="2"/>
  <c r="B21" i="2"/>
  <c r="D21" i="2"/>
  <c r="A21" i="2"/>
  <c r="H18" i="2"/>
  <c r="D18" i="2"/>
  <c r="B18" i="2"/>
  <c r="A18" i="2"/>
  <c r="H17" i="2"/>
  <c r="B17" i="2"/>
  <c r="D17" i="2"/>
  <c r="A17" i="2"/>
  <c r="H16" i="2"/>
  <c r="D16" i="2"/>
  <c r="B16" i="2"/>
  <c r="A16" i="2"/>
  <c r="H20" i="2"/>
  <c r="B20" i="2"/>
  <c r="D20" i="2"/>
  <c r="A20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32" i="1"/>
  <c r="Q27" i="1"/>
  <c r="Q28" i="1"/>
  <c r="Q29" i="1"/>
  <c r="F16" i="1"/>
  <c r="C17" i="1"/>
  <c r="Q25" i="1"/>
  <c r="Q24" i="1"/>
  <c r="Q22" i="1"/>
  <c r="K23" i="1"/>
  <c r="Q23" i="1"/>
  <c r="C11" i="3"/>
  <c r="C11" i="1"/>
  <c r="C12" i="1"/>
  <c r="C12" i="3"/>
  <c r="O41" i="3" l="1"/>
  <c r="S41" i="3" s="1"/>
  <c r="O42" i="3"/>
  <c r="S42" i="3" s="1"/>
  <c r="O43" i="3"/>
  <c r="S43" i="3" s="1"/>
  <c r="C16" i="3"/>
  <c r="D18" i="3" s="1"/>
  <c r="O24" i="1"/>
  <c r="O29" i="1"/>
  <c r="O40" i="1"/>
  <c r="O32" i="1"/>
  <c r="O36" i="1"/>
  <c r="O31" i="1"/>
  <c r="O27" i="1"/>
  <c r="O28" i="1"/>
  <c r="O25" i="1"/>
  <c r="O38" i="1"/>
  <c r="O22" i="1"/>
  <c r="O26" i="1"/>
  <c r="O33" i="1"/>
  <c r="O34" i="1"/>
  <c r="O39" i="1"/>
  <c r="O35" i="1"/>
  <c r="O30" i="1"/>
  <c r="O21" i="1"/>
  <c r="C15" i="1"/>
  <c r="O37" i="1"/>
  <c r="O23" i="1"/>
  <c r="O33" i="3"/>
  <c r="S33" i="3" s="1"/>
  <c r="O38" i="3"/>
  <c r="S38" i="3" s="1"/>
  <c r="O30" i="3"/>
  <c r="S30" i="3" s="1"/>
  <c r="O21" i="3"/>
  <c r="S21" i="3" s="1"/>
  <c r="O22" i="3"/>
  <c r="S22" i="3" s="1"/>
  <c r="O24" i="3"/>
  <c r="S24" i="3" s="1"/>
  <c r="O25" i="3"/>
  <c r="S25" i="3" s="1"/>
  <c r="O31" i="3"/>
  <c r="S31" i="3" s="1"/>
  <c r="O28" i="3"/>
  <c r="S28" i="3" s="1"/>
  <c r="O39" i="3"/>
  <c r="S39" i="3" s="1"/>
  <c r="O29" i="3"/>
  <c r="S29" i="3" s="1"/>
  <c r="O36" i="3"/>
  <c r="S36" i="3" s="1"/>
  <c r="O37" i="3"/>
  <c r="S37" i="3" s="1"/>
  <c r="O34" i="3"/>
  <c r="S34" i="3" s="1"/>
  <c r="O32" i="3"/>
  <c r="S32" i="3" s="1"/>
  <c r="O27" i="3"/>
  <c r="S27" i="3" s="1"/>
  <c r="O26" i="3"/>
  <c r="S26" i="3" s="1"/>
  <c r="C15" i="3"/>
  <c r="O35" i="3"/>
  <c r="S35" i="3" s="1"/>
  <c r="O40" i="3"/>
  <c r="S40" i="3" s="1"/>
  <c r="O23" i="3"/>
  <c r="S23" i="3" s="1"/>
  <c r="C16" i="1"/>
  <c r="D18" i="1" s="1"/>
  <c r="F17" i="1"/>
  <c r="F18" i="1" l="1"/>
  <c r="F19" i="1" s="1"/>
  <c r="C18" i="3"/>
  <c r="F18" i="3"/>
  <c r="F19" i="3" s="1"/>
  <c r="C18" i="1"/>
  <c r="S18" i="3"/>
</calcChain>
</file>

<file path=xl/sharedStrings.xml><?xml version="1.0" encoding="utf-8"?>
<sst xmlns="http://schemas.openxmlformats.org/spreadsheetml/2006/main" count="321" uniqueCount="136">
  <si>
    <t>IBVS 6196</t>
  </si>
  <si>
    <t>0.0043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</si>
  <si>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</si>
  <si>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</si>
  <si>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</si>
  <si>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</si>
  <si>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</si>
  <si>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</si>
  <si>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</si>
  <si>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</si>
  <si>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</si>
  <si>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</si>
  <si>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</si>
  <si>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</si>
  <si>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</si>
  <si>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</si>
  <si>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</si>
  <si>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</si>
  <si>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</si>
  <si>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</si>
  <si>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</si>
  <si>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</si>
  <si>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</si>
  <si>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</si>
  <si>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</si>
  <si>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</si>
  <si>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</si>
  <si>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</si>
  <si>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</si>
  <si>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EW</t>
  </si>
  <si>
    <t>IBVS 5657</t>
  </si>
  <si>
    <t>IBVS 5694</t>
  </si>
  <si>
    <t>I</t>
  </si>
  <si>
    <t>not avail.</t>
  </si>
  <si>
    <t>UU Cam / GSC 4339-0474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</si>
  <si>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</si>
  <si>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</si>
  <si>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</si>
  <si>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</si>
  <si>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</si>
  <si>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</si>
  <si>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</si>
  <si>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IBVS 5871</t>
  </si>
  <si>
    <t>IBVS 5920</t>
  </si>
  <si>
    <t>II</t>
  </si>
  <si>
    <t>Add cycle</t>
  </si>
  <si>
    <t>Old Cycle</t>
  </si>
  <si>
    <t>IBVS 5992</t>
  </si>
  <si>
    <t>IBVS 6010</t>
  </si>
  <si>
    <t>IBVS 6011</t>
  </si>
  <si>
    <t>IBVS 6063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</si>
  <si>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</si>
  <si>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</si>
  <si>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</si>
  <si>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</si>
  <si>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</si>
  <si>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</si>
  <si>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</si>
  <si>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</si>
  <si>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</si>
  <si>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</si>
  <si>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</si>
  <si>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2448680.67 </t>
  </si>
  <si>
    <t> 28.02.1992 04:04 </t>
  </si>
  <si>
    <t> 0.01 </t>
  </si>
  <si>
    <t>E </t>
  </si>
  <si>
    <t>?</t>
  </si>
  <si>
    <t> E.Schmidt et al. </t>
  </si>
  <si>
    <t> AJ 109.1239 </t>
  </si>
  <si>
    <t>2452685.5697 </t>
  </si>
  <si>
    <t> 15.02.2003 01:40 </t>
  </si>
  <si>
    <t> 0.0003 </t>
  </si>
  <si>
    <t>-I</t>
  </si>
  <si>
    <t> F.Agerer </t>
  </si>
  <si>
    <t>BAVM 173 </t>
  </si>
  <si>
    <t>2453450.0349 </t>
  </si>
  <si>
    <t> 20.03.2005 12:50 </t>
  </si>
  <si>
    <t>0</t>
  </si>
  <si>
    <t> -0.0001 </t>
  </si>
  <si>
    <t> C.-H.Kim et al. </t>
  </si>
  <si>
    <t>IBVS 5694 </t>
  </si>
  <si>
    <t>2454811.7390 </t>
  </si>
  <si>
    <t> 11.12.2008 05:44 </t>
  </si>
  <si>
    <t>1995</t>
  </si>
  <si>
    <t> -0.0004 </t>
  </si>
  <si>
    <t>C </t>
  </si>
  <si>
    <t> R.Diethelm </t>
  </si>
  <si>
    <t>IBVS 5871 </t>
  </si>
  <si>
    <t>2455121.964 </t>
  </si>
  <si>
    <t> 17.10.2009 11:08 </t>
  </si>
  <si>
    <t>2449.5</t>
  </si>
  <si>
    <t> 0.002 </t>
  </si>
  <si>
    <t>IBVS 5920 </t>
  </si>
  <si>
    <t>2455125.3768 </t>
  </si>
  <si>
    <t> 20.10.2009 21:02 </t>
  </si>
  <si>
    <t>2454.5</t>
  </si>
  <si>
    <t> 0.0017 </t>
  </si>
  <si>
    <t>BAVM 212 </t>
  </si>
  <si>
    <t>2455566.6466 </t>
  </si>
  <si>
    <t> 05.01.2011 03:31 </t>
  </si>
  <si>
    <t>3101</t>
  </si>
  <si>
    <t> -0.0026 </t>
  </si>
  <si>
    <t>IBVS 5992 </t>
  </si>
  <si>
    <t>2455670.3962 </t>
  </si>
  <si>
    <t> 18.04.2011 21:30 </t>
  </si>
  <si>
    <t>3253</t>
  </si>
  <si>
    <t> -0.0019 </t>
  </si>
  <si>
    <t>BAVM 220 </t>
  </si>
  <si>
    <t>2455849.9057 </t>
  </si>
  <si>
    <t> 15.10.2011 09:44 </t>
  </si>
  <si>
    <t>3516</t>
  </si>
  <si>
    <t> -0.0053 </t>
  </si>
  <si>
    <t>IBVS 6011 </t>
  </si>
  <si>
    <t>2455942.3979 </t>
  </si>
  <si>
    <t> 15.01.2012 21:32 </t>
  </si>
  <si>
    <t>3651.5</t>
  </si>
  <si>
    <t> 0.0002 </t>
  </si>
  <si>
    <t>o</t>
  </si>
  <si>
    <t> H.Jungbluth </t>
  </si>
  <si>
    <t>BAVM 225 </t>
  </si>
  <si>
    <t>2455969.3566 </t>
  </si>
  <si>
    <t> 11.02.2012 20:33 </t>
  </si>
  <si>
    <t>3691</t>
  </si>
  <si>
    <t> -0.0022 </t>
  </si>
  <si>
    <t>2456297.6653 </t>
  </si>
  <si>
    <t> 05.01.2013 03:58 </t>
  </si>
  <si>
    <t>4172</t>
  </si>
  <si>
    <t> -0.0042 </t>
  </si>
  <si>
    <t>IBVS 6063 </t>
  </si>
  <si>
    <r>
      <t>diff</t>
    </r>
    <r>
      <rPr>
        <b/>
        <vertAlign val="superscript"/>
        <sz val="10"/>
        <rFont val="Arial"/>
        <family val="2"/>
      </rPr>
      <t>2</t>
    </r>
  </si>
  <si>
    <t>Checked by ToMcat 2016-08-16</t>
  </si>
  <si>
    <t>OEJV 0210</t>
  </si>
  <si>
    <t>OEJV 0211</t>
  </si>
  <si>
    <t>BAD?</t>
  </si>
  <si>
    <t>JBAV, 60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</si>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</sst>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6" fillId="0" borderId="0"/>
    <xf numFmtId="0" fontId="29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>
      <alignment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9" fillId="24" borderId="0" xfId="0" applyFont="1" applyFill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26" borderId="0" xfId="0" applyFont="1" applyFill="1" applyAlignment="1"/>
    <xf numFmtId="0" fontId="23" fillId="0" borderId="0" xfId="0" applyFont="1" applyAlignment="1"/>
    <xf numFmtId="0" fontId="15" fillId="0" borderId="0" xfId="42" applyFont="1" applyAlignment="1">
      <alignment wrapText="1"/>
    </xf>
    <xf numFmtId="0" fontId="15" fillId="0" borderId="0" xfId="42" applyFont="1" applyAlignment="1">
      <alignment horizontal="center" wrapText="1"/>
    </xf>
    <xf numFmtId="0" fontId="15" fillId="0" borderId="0" xfId="42" applyFont="1" applyAlignment="1">
      <alignment horizontal="left" wrapText="1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40" fillId="0" borderId="8" xfId="0" applyFont="1" applyBorder="1" applyAlignment="1">
      <alignment horizontal="center"/>
    </xf>
    <xf numFmtId="0" fontId="9" fillId="26" borderId="0" xfId="0" applyFont="1" applyFill="1" applyAlignment="1"/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65" fontId="41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5" fillId="0" borderId="0" xfId="42" applyFont="1" applyAlignment="1">
      <alignment horizontal="left" vertical="center" wrapText="1"/>
    </xf>
    <xf numFmtId="0" fontId="39" fillId="0" borderId="0" xfId="42" applyFont="1" applyAlignment="1">
      <alignment horizontal="left" vertical="center"/>
    </xf>
    <xf numFmtId="0" fontId="15" fillId="0" borderId="0" xfId="42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Cam - O-C Diagr.</a:t>
            </a:r>
          </a:p>
        </c:rich>
      </c:tx>
      <c:layout>
        <c:manualLayout>
          <c:xMode val="edge"/>
          <c:yMode val="edge"/>
          <c:x val="0.381872525963972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909201387503"/>
          <c:y val="0.14678942920199375"/>
          <c:w val="0.8098074226059146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-22319</c:v>
                </c:pt>
                <c:pt idx="1">
                  <c:v>-3435</c:v>
                </c:pt>
                <c:pt idx="2">
                  <c:v>-1041</c:v>
                </c:pt>
                <c:pt idx="3">
                  <c:v>-962</c:v>
                </c:pt>
                <c:pt idx="4">
                  <c:v>-10584</c:v>
                </c:pt>
                <c:pt idx="5">
                  <c:v>-8344</c:v>
                </c:pt>
                <c:pt idx="6">
                  <c:v>-4354</c:v>
                </c:pt>
                <c:pt idx="7">
                  <c:v>-3445</c:v>
                </c:pt>
                <c:pt idx="8">
                  <c:v>-2142</c:v>
                </c:pt>
                <c:pt idx="9">
                  <c:v>-1838</c:v>
                </c:pt>
                <c:pt idx="10">
                  <c:v>-1312</c:v>
                </c:pt>
                <c:pt idx="11">
                  <c:v>0</c:v>
                </c:pt>
                <c:pt idx="12">
                  <c:v>3448</c:v>
                </c:pt>
                <c:pt idx="13">
                  <c:v>4532</c:v>
                </c:pt>
                <c:pt idx="14">
                  <c:v>8098</c:v>
                </c:pt>
                <c:pt idx="15">
                  <c:v>8098</c:v>
                </c:pt>
                <c:pt idx="16">
                  <c:v>8098</c:v>
                </c:pt>
                <c:pt idx="17">
                  <c:v>8101</c:v>
                </c:pt>
                <c:pt idx="18">
                  <c:v>8101</c:v>
                </c:pt>
                <c:pt idx="19">
                  <c:v>8101</c:v>
                </c:pt>
                <c:pt idx="20">
                  <c:v>9352</c:v>
                </c:pt>
                <c:pt idx="21">
                  <c:v>9848</c:v>
                </c:pt>
                <c:pt idx="22">
                  <c:v>9856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3F-421B-845E-075B06DD9B5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-22319</c:v>
                </c:pt>
                <c:pt idx="1">
                  <c:v>-3435</c:v>
                </c:pt>
                <c:pt idx="2">
                  <c:v>-1041</c:v>
                </c:pt>
                <c:pt idx="3">
                  <c:v>-962</c:v>
                </c:pt>
                <c:pt idx="4">
                  <c:v>-10584</c:v>
                </c:pt>
                <c:pt idx="5">
                  <c:v>-8344</c:v>
                </c:pt>
                <c:pt idx="6">
                  <c:v>-4354</c:v>
                </c:pt>
                <c:pt idx="7">
                  <c:v>-3445</c:v>
                </c:pt>
                <c:pt idx="8">
                  <c:v>-2142</c:v>
                </c:pt>
                <c:pt idx="9">
                  <c:v>-1838</c:v>
                </c:pt>
                <c:pt idx="10">
                  <c:v>-1312</c:v>
                </c:pt>
                <c:pt idx="11">
                  <c:v>0</c:v>
                </c:pt>
                <c:pt idx="12">
                  <c:v>3448</c:v>
                </c:pt>
                <c:pt idx="13">
                  <c:v>4532</c:v>
                </c:pt>
                <c:pt idx="14">
                  <c:v>8098</c:v>
                </c:pt>
                <c:pt idx="15">
                  <c:v>8098</c:v>
                </c:pt>
                <c:pt idx="16">
                  <c:v>8098</c:v>
                </c:pt>
                <c:pt idx="17">
                  <c:v>8101</c:v>
                </c:pt>
                <c:pt idx="18">
                  <c:v>8101</c:v>
                </c:pt>
                <c:pt idx="19">
                  <c:v>8101</c:v>
                </c:pt>
                <c:pt idx="20">
                  <c:v>9352</c:v>
                </c:pt>
                <c:pt idx="21">
                  <c:v>9848</c:v>
                </c:pt>
                <c:pt idx="22">
                  <c:v>9856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1.7542426139698364E-3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3F-421B-845E-075B06DD9B5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-22319</c:v>
                </c:pt>
                <c:pt idx="1">
                  <c:v>-3435</c:v>
                </c:pt>
                <c:pt idx="2">
                  <c:v>-1041</c:v>
                </c:pt>
                <c:pt idx="3">
                  <c:v>-962</c:v>
                </c:pt>
                <c:pt idx="4">
                  <c:v>-10584</c:v>
                </c:pt>
                <c:pt idx="5">
                  <c:v>-8344</c:v>
                </c:pt>
                <c:pt idx="6">
                  <c:v>-4354</c:v>
                </c:pt>
                <c:pt idx="7">
                  <c:v>-3445</c:v>
                </c:pt>
                <c:pt idx="8">
                  <c:v>-2142</c:v>
                </c:pt>
                <c:pt idx="9">
                  <c:v>-1838</c:v>
                </c:pt>
                <c:pt idx="10">
                  <c:v>-1312</c:v>
                </c:pt>
                <c:pt idx="11">
                  <c:v>0</c:v>
                </c:pt>
                <c:pt idx="12">
                  <c:v>3448</c:v>
                </c:pt>
                <c:pt idx="13">
                  <c:v>4532</c:v>
                </c:pt>
                <c:pt idx="14">
                  <c:v>8098</c:v>
                </c:pt>
                <c:pt idx="15">
                  <c:v>8098</c:v>
                </c:pt>
                <c:pt idx="16">
                  <c:v>8098</c:v>
                </c:pt>
                <c:pt idx="17">
                  <c:v>8101</c:v>
                </c:pt>
                <c:pt idx="18">
                  <c:v>8101</c:v>
                </c:pt>
                <c:pt idx="19">
                  <c:v>8101</c:v>
                </c:pt>
                <c:pt idx="20">
                  <c:v>9352</c:v>
                </c:pt>
                <c:pt idx="21">
                  <c:v>9848</c:v>
                </c:pt>
                <c:pt idx="22">
                  <c:v>9856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4">
                  <c:v>-3.3941459842026234E-3</c:v>
                </c:pt>
                <c:pt idx="9">
                  <c:v>1.1446018470451236E-4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3F-421B-845E-075B06DD9B5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-22319</c:v>
                </c:pt>
                <c:pt idx="1">
                  <c:v>-3435</c:v>
                </c:pt>
                <c:pt idx="2">
                  <c:v>-1041</c:v>
                </c:pt>
                <c:pt idx="3">
                  <c:v>-962</c:v>
                </c:pt>
                <c:pt idx="4">
                  <c:v>-10584</c:v>
                </c:pt>
                <c:pt idx="5">
                  <c:v>-8344</c:v>
                </c:pt>
                <c:pt idx="6">
                  <c:v>-4354</c:v>
                </c:pt>
                <c:pt idx="7">
                  <c:v>-3445</c:v>
                </c:pt>
                <c:pt idx="8">
                  <c:v>-2142</c:v>
                </c:pt>
                <c:pt idx="9">
                  <c:v>-1838</c:v>
                </c:pt>
                <c:pt idx="10">
                  <c:v>-1312</c:v>
                </c:pt>
                <c:pt idx="11">
                  <c:v>0</c:v>
                </c:pt>
                <c:pt idx="12">
                  <c:v>3448</c:v>
                </c:pt>
                <c:pt idx="13">
                  <c:v>4532</c:v>
                </c:pt>
                <c:pt idx="14">
                  <c:v>8098</c:v>
                </c:pt>
                <c:pt idx="15">
                  <c:v>8098</c:v>
                </c:pt>
                <c:pt idx="16">
                  <c:v>8098</c:v>
                </c:pt>
                <c:pt idx="17">
                  <c:v>8101</c:v>
                </c:pt>
                <c:pt idx="18">
                  <c:v>8101</c:v>
                </c:pt>
                <c:pt idx="19">
                  <c:v>8101</c:v>
                </c:pt>
                <c:pt idx="20">
                  <c:v>9352</c:v>
                </c:pt>
                <c:pt idx="21">
                  <c:v>9848</c:v>
                </c:pt>
                <c:pt idx="22">
                  <c:v>9856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2.7036273313569836E-3</c:v>
                </c:pt>
                <c:pt idx="2">
                  <c:v>2.7378376253182068E-3</c:v>
                </c:pt>
                <c:pt idx="3">
                  <c:v>4.2522384319454432E-4</c:v>
                </c:pt>
                <c:pt idx="5">
                  <c:v>-2.3492708642152138E-3</c:v>
                </c:pt>
                <c:pt idx="6">
                  <c:v>-2.5587054551579058E-5</c:v>
                </c:pt>
                <c:pt idx="7">
                  <c:v>2.6900341399596073E-3</c:v>
                </c:pt>
                <c:pt idx="8">
                  <c:v>-7.7877287549199536E-4</c:v>
                </c:pt>
                <c:pt idx="10">
                  <c:v>-2.9505378915928304E-3</c:v>
                </c:pt>
                <c:pt idx="11">
                  <c:v>-9.2711103934561834E-4</c:v>
                </c:pt>
                <c:pt idx="12">
                  <c:v>2.3198217313620262E-3</c:v>
                </c:pt>
                <c:pt idx="13">
                  <c:v>3.3333237879560329E-3</c:v>
                </c:pt>
                <c:pt idx="14">
                  <c:v>9.267656016163528E-3</c:v>
                </c:pt>
                <c:pt idx="15">
                  <c:v>1.1315656243823469E-2</c:v>
                </c:pt>
                <c:pt idx="16">
                  <c:v>1.4299656148068607E-2</c:v>
                </c:pt>
                <c:pt idx="17">
                  <c:v>1.5577734418911859E-2</c:v>
                </c:pt>
                <c:pt idx="18">
                  <c:v>1.7602734238607809E-2</c:v>
                </c:pt>
                <c:pt idx="19">
                  <c:v>1.788573429803364E-2</c:v>
                </c:pt>
                <c:pt idx="20">
                  <c:v>1.7125242586189415E-2</c:v>
                </c:pt>
                <c:pt idx="21">
                  <c:v>1.9619464932475239E-2</c:v>
                </c:pt>
                <c:pt idx="22">
                  <c:v>1.849033948383294E-2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3F-421B-845E-075B06DD9B5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-22319</c:v>
                </c:pt>
                <c:pt idx="1">
                  <c:v>-3435</c:v>
                </c:pt>
                <c:pt idx="2">
                  <c:v>-1041</c:v>
                </c:pt>
                <c:pt idx="3">
                  <c:v>-962</c:v>
                </c:pt>
                <c:pt idx="4">
                  <c:v>-10584</c:v>
                </c:pt>
                <c:pt idx="5">
                  <c:v>-8344</c:v>
                </c:pt>
                <c:pt idx="6">
                  <c:v>-4354</c:v>
                </c:pt>
                <c:pt idx="7">
                  <c:v>-3445</c:v>
                </c:pt>
                <c:pt idx="8">
                  <c:v>-2142</c:v>
                </c:pt>
                <c:pt idx="9">
                  <c:v>-1838</c:v>
                </c:pt>
                <c:pt idx="10">
                  <c:v>-1312</c:v>
                </c:pt>
                <c:pt idx="11">
                  <c:v>0</c:v>
                </c:pt>
                <c:pt idx="12">
                  <c:v>3448</c:v>
                </c:pt>
                <c:pt idx="13">
                  <c:v>4532</c:v>
                </c:pt>
                <c:pt idx="14">
                  <c:v>8098</c:v>
                </c:pt>
                <c:pt idx="15">
                  <c:v>8098</c:v>
                </c:pt>
                <c:pt idx="16">
                  <c:v>8098</c:v>
                </c:pt>
                <c:pt idx="17">
                  <c:v>8101</c:v>
                </c:pt>
                <c:pt idx="18">
                  <c:v>8101</c:v>
                </c:pt>
                <c:pt idx="19">
                  <c:v>8101</c:v>
                </c:pt>
                <c:pt idx="20">
                  <c:v>9352</c:v>
                </c:pt>
                <c:pt idx="21">
                  <c:v>9848</c:v>
                </c:pt>
                <c:pt idx="22">
                  <c:v>9856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3F-421B-845E-075B06DD9B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-22319</c:v>
                </c:pt>
                <c:pt idx="1">
                  <c:v>-3435</c:v>
                </c:pt>
                <c:pt idx="2">
                  <c:v>-1041</c:v>
                </c:pt>
                <c:pt idx="3">
                  <c:v>-962</c:v>
                </c:pt>
                <c:pt idx="4">
                  <c:v>-10584</c:v>
                </c:pt>
                <c:pt idx="5">
                  <c:v>-8344</c:v>
                </c:pt>
                <c:pt idx="6">
                  <c:v>-4354</c:v>
                </c:pt>
                <c:pt idx="7">
                  <c:v>-3445</c:v>
                </c:pt>
                <c:pt idx="8">
                  <c:v>-2142</c:v>
                </c:pt>
                <c:pt idx="9">
                  <c:v>-1838</c:v>
                </c:pt>
                <c:pt idx="10">
                  <c:v>-1312</c:v>
                </c:pt>
                <c:pt idx="11">
                  <c:v>0</c:v>
                </c:pt>
                <c:pt idx="12">
                  <c:v>3448</c:v>
                </c:pt>
                <c:pt idx="13">
                  <c:v>4532</c:v>
                </c:pt>
                <c:pt idx="14">
                  <c:v>8098</c:v>
                </c:pt>
                <c:pt idx="15">
                  <c:v>8098</c:v>
                </c:pt>
                <c:pt idx="16">
                  <c:v>8098</c:v>
                </c:pt>
                <c:pt idx="17">
                  <c:v>8101</c:v>
                </c:pt>
                <c:pt idx="18">
                  <c:v>8101</c:v>
                </c:pt>
                <c:pt idx="19">
                  <c:v>8101</c:v>
                </c:pt>
                <c:pt idx="20">
                  <c:v>9352</c:v>
                </c:pt>
                <c:pt idx="21">
                  <c:v>9848</c:v>
                </c:pt>
                <c:pt idx="22">
                  <c:v>9856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3F-421B-845E-075B06DD9B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3.5000000000000001E-3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4.3E-3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  <c:pt idx="20">
                    <c:v>2.0999999999999999E-3</c:v>
                  </c:pt>
                  <c:pt idx="21">
                    <c:v>2E-3</c:v>
                  </c:pt>
                  <c:pt idx="2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-22319</c:v>
                </c:pt>
                <c:pt idx="1">
                  <c:v>-3435</c:v>
                </c:pt>
                <c:pt idx="2">
                  <c:v>-1041</c:v>
                </c:pt>
                <c:pt idx="3">
                  <c:v>-962</c:v>
                </c:pt>
                <c:pt idx="4">
                  <c:v>-10584</c:v>
                </c:pt>
                <c:pt idx="5">
                  <c:v>-8344</c:v>
                </c:pt>
                <c:pt idx="6">
                  <c:v>-4354</c:v>
                </c:pt>
                <c:pt idx="7">
                  <c:v>-3445</c:v>
                </c:pt>
                <c:pt idx="8">
                  <c:v>-2142</c:v>
                </c:pt>
                <c:pt idx="9">
                  <c:v>-1838</c:v>
                </c:pt>
                <c:pt idx="10">
                  <c:v>-1312</c:v>
                </c:pt>
                <c:pt idx="11">
                  <c:v>0</c:v>
                </c:pt>
                <c:pt idx="12">
                  <c:v>3448</c:v>
                </c:pt>
                <c:pt idx="13">
                  <c:v>4532</c:v>
                </c:pt>
                <c:pt idx="14">
                  <c:v>8098</c:v>
                </c:pt>
                <c:pt idx="15">
                  <c:v>8098</c:v>
                </c:pt>
                <c:pt idx="16">
                  <c:v>8098</c:v>
                </c:pt>
                <c:pt idx="17">
                  <c:v>8101</c:v>
                </c:pt>
                <c:pt idx="18">
                  <c:v>8101</c:v>
                </c:pt>
                <c:pt idx="19">
                  <c:v>8101</c:v>
                </c:pt>
                <c:pt idx="20">
                  <c:v>9352</c:v>
                </c:pt>
                <c:pt idx="21">
                  <c:v>9848</c:v>
                </c:pt>
                <c:pt idx="22">
                  <c:v>9856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3F-421B-845E-075B06DD9B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-22319</c:v>
                </c:pt>
                <c:pt idx="1">
                  <c:v>-3435</c:v>
                </c:pt>
                <c:pt idx="2">
                  <c:v>-1041</c:v>
                </c:pt>
                <c:pt idx="3">
                  <c:v>-962</c:v>
                </c:pt>
                <c:pt idx="4">
                  <c:v>-10584</c:v>
                </c:pt>
                <c:pt idx="5">
                  <c:v>-8344</c:v>
                </c:pt>
                <c:pt idx="6">
                  <c:v>-4354</c:v>
                </c:pt>
                <c:pt idx="7">
                  <c:v>-3445</c:v>
                </c:pt>
                <c:pt idx="8">
                  <c:v>-2142</c:v>
                </c:pt>
                <c:pt idx="9">
                  <c:v>-1838</c:v>
                </c:pt>
                <c:pt idx="10">
                  <c:v>-1312</c:v>
                </c:pt>
                <c:pt idx="11">
                  <c:v>0</c:v>
                </c:pt>
                <c:pt idx="12">
                  <c:v>3448</c:v>
                </c:pt>
                <c:pt idx="13">
                  <c:v>4532</c:v>
                </c:pt>
                <c:pt idx="14">
                  <c:v>8098</c:v>
                </c:pt>
                <c:pt idx="15">
                  <c:v>8098</c:v>
                </c:pt>
                <c:pt idx="16">
                  <c:v>8098</c:v>
                </c:pt>
                <c:pt idx="17">
                  <c:v>8101</c:v>
                </c:pt>
                <c:pt idx="18">
                  <c:v>8101</c:v>
                </c:pt>
                <c:pt idx="19">
                  <c:v>8101</c:v>
                </c:pt>
                <c:pt idx="20">
                  <c:v>9352</c:v>
                </c:pt>
                <c:pt idx="21">
                  <c:v>9848</c:v>
                </c:pt>
                <c:pt idx="22">
                  <c:v>9856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-1.1701243529474999E-2</c:v>
                </c:pt>
                <c:pt idx="1">
                  <c:v>2.8669847609100745E-3</c:v>
                </c:pt>
                <c:pt idx="2">
                  <c:v>4.713857167560247E-3</c:v>
                </c:pt>
                <c:pt idx="3">
                  <c:v>4.7748024140620701E-3</c:v>
                </c:pt>
                <c:pt idx="4">
                  <c:v>-2.6481743180966459E-3</c:v>
                </c:pt>
                <c:pt idx="5">
                  <c:v>-9.2010656918420277E-4</c:v>
                </c:pt>
                <c:pt idx="6">
                  <c:v>2.1580141085660856E-3</c:v>
                </c:pt>
                <c:pt idx="7">
                  <c:v>2.859270172745287E-3</c:v>
                </c:pt>
                <c:pt idx="8">
                  <c:v>3.864481010617123E-3</c:v>
                </c:pt>
                <c:pt idx="9">
                  <c:v>4.0990044908266691E-3</c:v>
                </c:pt>
                <c:pt idx="10">
                  <c:v>4.5047918282945009E-3</c:v>
                </c:pt>
                <c:pt idx="11">
                  <c:v>5.516945795514646E-3</c:v>
                </c:pt>
                <c:pt idx="12">
                  <c:v>8.176935794733442E-3</c:v>
                </c:pt>
                <c:pt idx="13">
                  <c:v>9.0131971517964267E-3</c:v>
                </c:pt>
                <c:pt idx="14">
                  <c:v>1.1764219291359717E-2</c:v>
                </c:pt>
                <c:pt idx="15">
                  <c:v>1.1764219291359717E-2</c:v>
                </c:pt>
                <c:pt idx="16">
                  <c:v>1.1764219291359717E-2</c:v>
                </c:pt>
                <c:pt idx="17">
                  <c:v>1.1766533667809154E-2</c:v>
                </c:pt>
                <c:pt idx="18">
                  <c:v>1.1766533667809154E-2</c:v>
                </c:pt>
                <c:pt idx="19">
                  <c:v>1.1766533667809154E-2</c:v>
                </c:pt>
                <c:pt idx="20">
                  <c:v>1.2731628647224094E-2</c:v>
                </c:pt>
                <c:pt idx="21">
                  <c:v>1.3114272220197563E-2</c:v>
                </c:pt>
                <c:pt idx="22">
                  <c:v>1.3120443890729394E-2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3F-421B-845E-075B06DD9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633256"/>
        <c:axId val="1"/>
      </c:scatterChart>
      <c:valAx>
        <c:axId val="545633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0032837648637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633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9926446787018"/>
          <c:y val="0.9204921861831491"/>
          <c:w val="0.6211000222297621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Cam - O-C Diagr.</a:t>
            </a:r>
          </a:p>
        </c:rich>
      </c:tx>
      <c:layout>
        <c:manualLayout>
          <c:xMode val="edge"/>
          <c:yMode val="edge"/>
          <c:x val="0.381872525963972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2846986475397"/>
          <c:y val="0.14678942920199375"/>
          <c:w val="0.8276380447550357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A!$F$21:$F$995</c:f>
              <c:numCache>
                <c:formatCode>General</c:formatCode>
                <c:ptCount val="975"/>
                <c:pt idx="0">
                  <c:v>-13975</c:v>
                </c:pt>
                <c:pt idx="1">
                  <c:v>-2240</c:v>
                </c:pt>
                <c:pt idx="2">
                  <c:v>0</c:v>
                </c:pt>
                <c:pt idx="3">
                  <c:v>3990</c:v>
                </c:pt>
                <c:pt idx="4">
                  <c:v>4899</c:v>
                </c:pt>
                <c:pt idx="5">
                  <c:v>4909</c:v>
                </c:pt>
                <c:pt idx="6">
                  <c:v>6202</c:v>
                </c:pt>
                <c:pt idx="7">
                  <c:v>6506</c:v>
                </c:pt>
                <c:pt idx="8">
                  <c:v>7032</c:v>
                </c:pt>
                <c:pt idx="9">
                  <c:v>7303</c:v>
                </c:pt>
                <c:pt idx="10">
                  <c:v>7382</c:v>
                </c:pt>
                <c:pt idx="11">
                  <c:v>8344</c:v>
                </c:pt>
                <c:pt idx="12">
                  <c:v>11792</c:v>
                </c:pt>
                <c:pt idx="13">
                  <c:v>12876</c:v>
                </c:pt>
                <c:pt idx="14">
                  <c:v>16442</c:v>
                </c:pt>
                <c:pt idx="15">
                  <c:v>16442</c:v>
                </c:pt>
                <c:pt idx="16">
                  <c:v>16442</c:v>
                </c:pt>
                <c:pt idx="17">
                  <c:v>16445</c:v>
                </c:pt>
                <c:pt idx="18">
                  <c:v>16445</c:v>
                </c:pt>
                <c:pt idx="19">
                  <c:v>16445</c:v>
                </c:pt>
              </c:numCache>
            </c:numRef>
          </c:xVal>
          <c:yVal>
            <c:numRef>
              <c:f>A!$H$21:$H$995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F5-4AF7-B1EE-AE9352BDBD37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plus>
            <c:min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A!$F$21:$F$995</c:f>
              <c:numCache>
                <c:formatCode>General</c:formatCode>
                <c:ptCount val="975"/>
                <c:pt idx="0">
                  <c:v>-13975</c:v>
                </c:pt>
                <c:pt idx="1">
                  <c:v>-2240</c:v>
                </c:pt>
                <c:pt idx="2">
                  <c:v>0</c:v>
                </c:pt>
                <c:pt idx="3">
                  <c:v>3990</c:v>
                </c:pt>
                <c:pt idx="4">
                  <c:v>4899</c:v>
                </c:pt>
                <c:pt idx="5">
                  <c:v>4909</c:v>
                </c:pt>
                <c:pt idx="6">
                  <c:v>6202</c:v>
                </c:pt>
                <c:pt idx="7">
                  <c:v>6506</c:v>
                </c:pt>
                <c:pt idx="8">
                  <c:v>7032</c:v>
                </c:pt>
                <c:pt idx="9">
                  <c:v>7303</c:v>
                </c:pt>
                <c:pt idx="10">
                  <c:v>7382</c:v>
                </c:pt>
                <c:pt idx="11">
                  <c:v>8344</c:v>
                </c:pt>
                <c:pt idx="12">
                  <c:v>11792</c:v>
                </c:pt>
                <c:pt idx="13">
                  <c:v>12876</c:v>
                </c:pt>
                <c:pt idx="14">
                  <c:v>16442</c:v>
                </c:pt>
                <c:pt idx="15">
                  <c:v>16442</c:v>
                </c:pt>
                <c:pt idx="16">
                  <c:v>16442</c:v>
                </c:pt>
                <c:pt idx="17">
                  <c:v>16445</c:v>
                </c:pt>
                <c:pt idx="18">
                  <c:v>16445</c:v>
                </c:pt>
                <c:pt idx="19">
                  <c:v>16445</c:v>
                </c:pt>
              </c:numCache>
            </c:numRef>
          </c:xVal>
          <c:yVal>
            <c:numRef>
              <c:f>A!$I$21:$I$995</c:f>
              <c:numCache>
                <c:formatCode>General</c:formatCode>
                <c:ptCount val="975"/>
                <c:pt idx="0">
                  <c:v>-0.20469250000314787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F5-4AF7-B1EE-AE9352BDBD37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plus>
            <c:min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A!$F$21:$F$995</c:f>
              <c:numCache>
                <c:formatCode>General</c:formatCode>
                <c:ptCount val="975"/>
                <c:pt idx="0">
                  <c:v>-13975</c:v>
                </c:pt>
                <c:pt idx="1">
                  <c:v>-2240</c:v>
                </c:pt>
                <c:pt idx="2">
                  <c:v>0</c:v>
                </c:pt>
                <c:pt idx="3">
                  <c:v>3990</c:v>
                </c:pt>
                <c:pt idx="4">
                  <c:v>4899</c:v>
                </c:pt>
                <c:pt idx="5">
                  <c:v>4909</c:v>
                </c:pt>
                <c:pt idx="6">
                  <c:v>6202</c:v>
                </c:pt>
                <c:pt idx="7">
                  <c:v>6506</c:v>
                </c:pt>
                <c:pt idx="8">
                  <c:v>7032</c:v>
                </c:pt>
                <c:pt idx="9">
                  <c:v>7303</c:v>
                </c:pt>
                <c:pt idx="10">
                  <c:v>7382</c:v>
                </c:pt>
                <c:pt idx="11">
                  <c:v>8344</c:v>
                </c:pt>
                <c:pt idx="12">
                  <c:v>11792</c:v>
                </c:pt>
                <c:pt idx="13">
                  <c:v>12876</c:v>
                </c:pt>
                <c:pt idx="14">
                  <c:v>16442</c:v>
                </c:pt>
                <c:pt idx="15">
                  <c:v>16442</c:v>
                </c:pt>
                <c:pt idx="16">
                  <c:v>16442</c:v>
                </c:pt>
                <c:pt idx="17">
                  <c:v>16445</c:v>
                </c:pt>
                <c:pt idx="18">
                  <c:v>16445</c:v>
                </c:pt>
                <c:pt idx="19">
                  <c:v>16445</c:v>
                </c:pt>
              </c:numCache>
            </c:numRef>
          </c:xVal>
          <c:yVal>
            <c:numRef>
              <c:f>A!$J$21:$J$995</c:f>
              <c:numCache>
                <c:formatCode>General</c:formatCode>
                <c:ptCount val="975"/>
                <c:pt idx="1">
                  <c:v>-3.4511999998358078E-2</c:v>
                </c:pt>
                <c:pt idx="7">
                  <c:v>9.9667800001043361E-2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F5-4AF7-B1EE-AE9352BDBD37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plus>
            <c:min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A!$F$21:$F$995</c:f>
              <c:numCache>
                <c:formatCode>General</c:formatCode>
                <c:ptCount val="975"/>
                <c:pt idx="0">
                  <c:v>-13975</c:v>
                </c:pt>
                <c:pt idx="1">
                  <c:v>-2240</c:v>
                </c:pt>
                <c:pt idx="2">
                  <c:v>0</c:v>
                </c:pt>
                <c:pt idx="3">
                  <c:v>3990</c:v>
                </c:pt>
                <c:pt idx="4">
                  <c:v>4899</c:v>
                </c:pt>
                <c:pt idx="5">
                  <c:v>4909</c:v>
                </c:pt>
                <c:pt idx="6">
                  <c:v>6202</c:v>
                </c:pt>
                <c:pt idx="7">
                  <c:v>6506</c:v>
                </c:pt>
                <c:pt idx="8">
                  <c:v>7032</c:v>
                </c:pt>
                <c:pt idx="9">
                  <c:v>7303</c:v>
                </c:pt>
                <c:pt idx="10">
                  <c:v>7382</c:v>
                </c:pt>
                <c:pt idx="11">
                  <c:v>8344</c:v>
                </c:pt>
                <c:pt idx="12">
                  <c:v>11792</c:v>
                </c:pt>
                <c:pt idx="13">
                  <c:v>12876</c:v>
                </c:pt>
                <c:pt idx="14">
                  <c:v>16442</c:v>
                </c:pt>
                <c:pt idx="15">
                  <c:v>16442</c:v>
                </c:pt>
                <c:pt idx="16">
                  <c:v>16442</c:v>
                </c:pt>
                <c:pt idx="17">
                  <c:v>16445</c:v>
                </c:pt>
                <c:pt idx="18">
                  <c:v>16445</c:v>
                </c:pt>
                <c:pt idx="19">
                  <c:v>16445</c:v>
                </c:pt>
              </c:numCache>
            </c:numRef>
          </c:xVal>
          <c:yVal>
            <c:numRef>
              <c:f>A!$K$21:$K$995</c:f>
              <c:numCache>
                <c:formatCode>General</c:formatCode>
                <c:ptCount val="975"/>
                <c:pt idx="2">
                  <c:v>0</c:v>
                </c:pt>
                <c:pt idx="3">
                  <c:v>6.1937000005855225E-2</c:v>
                </c:pt>
                <c:pt idx="4">
                  <c:v>7.8233699998236261E-2</c:v>
                </c:pt>
                <c:pt idx="5">
                  <c:v>7.8396700002485886E-2</c:v>
                </c:pt>
                <c:pt idx="6">
                  <c:v>9.4232600000395905E-2</c:v>
                </c:pt>
                <c:pt idx="8">
                  <c:v>0.10446160000719829</c:v>
                </c:pt>
                <c:pt idx="9">
                  <c:v>0.11419890000252053</c:v>
                </c:pt>
                <c:pt idx="10">
                  <c:v>0.11306660000263946</c:v>
                </c:pt>
                <c:pt idx="11">
                  <c:v>0.12608719999843743</c:v>
                </c:pt>
                <c:pt idx="12">
                  <c:v>0.18084960000123829</c:v>
                </c:pt>
                <c:pt idx="13">
                  <c:v>0.19805879998602904</c:v>
                </c:pt>
                <c:pt idx="14">
                  <c:v>0.25727159977395786</c:v>
                </c:pt>
                <c:pt idx="15">
                  <c:v>0.2593196000016178</c:v>
                </c:pt>
                <c:pt idx="16">
                  <c:v>0.26230359990586294</c:v>
                </c:pt>
                <c:pt idx="17">
                  <c:v>0.2636265002147411</c:v>
                </c:pt>
                <c:pt idx="18">
                  <c:v>0.26565150003443705</c:v>
                </c:pt>
                <c:pt idx="19">
                  <c:v>0.26593450009386288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F5-4AF7-B1EE-AE9352BDBD37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plus>
            <c:min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A!$F$21:$F$995</c:f>
              <c:numCache>
                <c:formatCode>General</c:formatCode>
                <c:ptCount val="975"/>
                <c:pt idx="0">
                  <c:v>-13975</c:v>
                </c:pt>
                <c:pt idx="1">
                  <c:v>-2240</c:v>
                </c:pt>
                <c:pt idx="2">
                  <c:v>0</c:v>
                </c:pt>
                <c:pt idx="3">
                  <c:v>3990</c:v>
                </c:pt>
                <c:pt idx="4">
                  <c:v>4899</c:v>
                </c:pt>
                <c:pt idx="5">
                  <c:v>4909</c:v>
                </c:pt>
                <c:pt idx="6">
                  <c:v>6202</c:v>
                </c:pt>
                <c:pt idx="7">
                  <c:v>6506</c:v>
                </c:pt>
                <c:pt idx="8">
                  <c:v>7032</c:v>
                </c:pt>
                <c:pt idx="9">
                  <c:v>7303</c:v>
                </c:pt>
                <c:pt idx="10">
                  <c:v>7382</c:v>
                </c:pt>
                <c:pt idx="11">
                  <c:v>8344</c:v>
                </c:pt>
                <c:pt idx="12">
                  <c:v>11792</c:v>
                </c:pt>
                <c:pt idx="13">
                  <c:v>12876</c:v>
                </c:pt>
                <c:pt idx="14">
                  <c:v>16442</c:v>
                </c:pt>
                <c:pt idx="15">
                  <c:v>16442</c:v>
                </c:pt>
                <c:pt idx="16">
                  <c:v>16442</c:v>
                </c:pt>
                <c:pt idx="17">
                  <c:v>16445</c:v>
                </c:pt>
                <c:pt idx="18">
                  <c:v>16445</c:v>
                </c:pt>
                <c:pt idx="19">
                  <c:v>16445</c:v>
                </c:pt>
              </c:numCache>
            </c:numRef>
          </c:xVal>
          <c:yVal>
            <c:numRef>
              <c:f>A!$L$21:$L$995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F5-4AF7-B1EE-AE9352BDBD37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plus>
            <c:min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A!$F$21:$F$995</c:f>
              <c:numCache>
                <c:formatCode>General</c:formatCode>
                <c:ptCount val="975"/>
                <c:pt idx="0">
                  <c:v>-13975</c:v>
                </c:pt>
                <c:pt idx="1">
                  <c:v>-2240</c:v>
                </c:pt>
                <c:pt idx="2">
                  <c:v>0</c:v>
                </c:pt>
                <c:pt idx="3">
                  <c:v>3990</c:v>
                </c:pt>
                <c:pt idx="4">
                  <c:v>4899</c:v>
                </c:pt>
                <c:pt idx="5">
                  <c:v>4909</c:v>
                </c:pt>
                <c:pt idx="6">
                  <c:v>6202</c:v>
                </c:pt>
                <c:pt idx="7">
                  <c:v>6506</c:v>
                </c:pt>
                <c:pt idx="8">
                  <c:v>7032</c:v>
                </c:pt>
                <c:pt idx="9">
                  <c:v>7303</c:v>
                </c:pt>
                <c:pt idx="10">
                  <c:v>7382</c:v>
                </c:pt>
                <c:pt idx="11">
                  <c:v>8344</c:v>
                </c:pt>
                <c:pt idx="12">
                  <c:v>11792</c:v>
                </c:pt>
                <c:pt idx="13">
                  <c:v>12876</c:v>
                </c:pt>
                <c:pt idx="14">
                  <c:v>16442</c:v>
                </c:pt>
                <c:pt idx="15">
                  <c:v>16442</c:v>
                </c:pt>
                <c:pt idx="16">
                  <c:v>16442</c:v>
                </c:pt>
                <c:pt idx="17">
                  <c:v>16445</c:v>
                </c:pt>
                <c:pt idx="18">
                  <c:v>16445</c:v>
                </c:pt>
                <c:pt idx="19">
                  <c:v>16445</c:v>
                </c:pt>
              </c:numCache>
            </c:numRef>
          </c:xVal>
          <c:yVal>
            <c:numRef>
              <c:f>A!$M$21:$M$995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F5-4AF7-B1EE-AE9352BDBD37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plus>
            <c:minus>
              <c:numRef>
                <c:f>A!$D$21:$D$995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0</c:v>
                  </c:pt>
                  <c:pt idx="6">
                    <c:v>5.0000000000000001E-4</c:v>
                  </c:pt>
                  <c:pt idx="7">
                    <c:v>3.5000000000000001E-3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4.0000000000000002E-4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1.5723999999999998E-2</c:v>
                  </c:pt>
                  <c:pt idx="15">
                    <c:v>1.7968999999999999E-2</c:v>
                  </c:pt>
                  <c:pt idx="16">
                    <c:v>6.4999999999999997E-4</c:v>
                  </c:pt>
                  <c:pt idx="17">
                    <c:v>1.0790000000000001E-3</c:v>
                  </c:pt>
                  <c:pt idx="18">
                    <c:v>6.6420000000000003E-3</c:v>
                  </c:pt>
                  <c:pt idx="19">
                    <c:v>5.2760000000000003E-3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A!$F$21:$F$995</c:f>
              <c:numCache>
                <c:formatCode>General</c:formatCode>
                <c:ptCount val="975"/>
                <c:pt idx="0">
                  <c:v>-13975</c:v>
                </c:pt>
                <c:pt idx="1">
                  <c:v>-2240</c:v>
                </c:pt>
                <c:pt idx="2">
                  <c:v>0</c:v>
                </c:pt>
                <c:pt idx="3">
                  <c:v>3990</c:v>
                </c:pt>
                <c:pt idx="4">
                  <c:v>4899</c:v>
                </c:pt>
                <c:pt idx="5">
                  <c:v>4909</c:v>
                </c:pt>
                <c:pt idx="6">
                  <c:v>6202</c:v>
                </c:pt>
                <c:pt idx="7">
                  <c:v>6506</c:v>
                </c:pt>
                <c:pt idx="8">
                  <c:v>7032</c:v>
                </c:pt>
                <c:pt idx="9">
                  <c:v>7303</c:v>
                </c:pt>
                <c:pt idx="10">
                  <c:v>7382</c:v>
                </c:pt>
                <c:pt idx="11">
                  <c:v>8344</c:v>
                </c:pt>
                <c:pt idx="12">
                  <c:v>11792</c:v>
                </c:pt>
                <c:pt idx="13">
                  <c:v>12876</c:v>
                </c:pt>
                <c:pt idx="14">
                  <c:v>16442</c:v>
                </c:pt>
                <c:pt idx="15">
                  <c:v>16442</c:v>
                </c:pt>
                <c:pt idx="16">
                  <c:v>16442</c:v>
                </c:pt>
                <c:pt idx="17">
                  <c:v>16445</c:v>
                </c:pt>
                <c:pt idx="18">
                  <c:v>16445</c:v>
                </c:pt>
                <c:pt idx="19">
                  <c:v>16445</c:v>
                </c:pt>
              </c:numCache>
            </c:numRef>
          </c:xVal>
          <c:yVal>
            <c:numRef>
              <c:f>A!$N$21:$N$995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F5-4AF7-B1EE-AE9352BDBD37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A!$F$21:$F$995</c:f>
              <c:numCache>
                <c:formatCode>General</c:formatCode>
                <c:ptCount val="975"/>
                <c:pt idx="0">
                  <c:v>-13975</c:v>
                </c:pt>
                <c:pt idx="1">
                  <c:v>-2240</c:v>
                </c:pt>
                <c:pt idx="2">
                  <c:v>0</c:v>
                </c:pt>
                <c:pt idx="3">
                  <c:v>3990</c:v>
                </c:pt>
                <c:pt idx="4">
                  <c:v>4899</c:v>
                </c:pt>
                <c:pt idx="5">
                  <c:v>4909</c:v>
                </c:pt>
                <c:pt idx="6">
                  <c:v>6202</c:v>
                </c:pt>
                <c:pt idx="7">
                  <c:v>6506</c:v>
                </c:pt>
                <c:pt idx="8">
                  <c:v>7032</c:v>
                </c:pt>
                <c:pt idx="9">
                  <c:v>7303</c:v>
                </c:pt>
                <c:pt idx="10">
                  <c:v>7382</c:v>
                </c:pt>
                <c:pt idx="11">
                  <c:v>8344</c:v>
                </c:pt>
                <c:pt idx="12">
                  <c:v>11792</c:v>
                </c:pt>
                <c:pt idx="13">
                  <c:v>12876</c:v>
                </c:pt>
                <c:pt idx="14">
                  <c:v>16442</c:v>
                </c:pt>
                <c:pt idx="15">
                  <c:v>16442</c:v>
                </c:pt>
                <c:pt idx="16">
                  <c:v>16442</c:v>
                </c:pt>
                <c:pt idx="17">
                  <c:v>16445</c:v>
                </c:pt>
                <c:pt idx="18">
                  <c:v>16445</c:v>
                </c:pt>
                <c:pt idx="19">
                  <c:v>16445</c:v>
                </c:pt>
              </c:numCache>
            </c:numRef>
          </c:xVal>
          <c:yVal>
            <c:numRef>
              <c:f>A!$O$21:$O$995</c:f>
              <c:numCache>
                <c:formatCode>General</c:formatCode>
                <c:ptCount val="975"/>
                <c:pt idx="0">
                  <c:v>-0.2158910299588104</c:v>
                </c:pt>
                <c:pt idx="1">
                  <c:v>-3.3135091398326662E-2</c:v>
                </c:pt>
                <c:pt idx="2">
                  <c:v>1.7497234611095203E-3</c:v>
                </c:pt>
                <c:pt idx="3">
                  <c:v>6.3888299929480225E-2</c:v>
                </c:pt>
                <c:pt idx="4">
                  <c:v>7.8044682388063918E-2</c:v>
                </c:pt>
                <c:pt idx="5">
                  <c:v>7.8200418168686392E-2</c:v>
                </c:pt>
                <c:pt idx="6">
                  <c:v>9.8337054603173449E-2</c:v>
                </c:pt>
                <c:pt idx="7">
                  <c:v>0.10307142233409693</c:v>
                </c:pt>
                <c:pt idx="8">
                  <c:v>0.11126312439483953</c:v>
                </c:pt>
                <c:pt idx="9">
                  <c:v>0.11548356404970882</c:v>
                </c:pt>
                <c:pt idx="10">
                  <c:v>0.11671387671662643</c:v>
                </c:pt>
                <c:pt idx="11">
                  <c:v>0.1316956588125093</c:v>
                </c:pt>
                <c:pt idx="12">
                  <c:v>0.1853933559711414</c:v>
                </c:pt>
                <c:pt idx="13">
                  <c:v>0.20227511459061856</c:v>
                </c:pt>
                <c:pt idx="14">
                  <c:v>0.25781049396059597</c:v>
                </c:pt>
                <c:pt idx="15">
                  <c:v>0.25781049396059597</c:v>
                </c:pt>
                <c:pt idx="16">
                  <c:v>0.25781049396059597</c:v>
                </c:pt>
                <c:pt idx="17">
                  <c:v>0.25785721469478273</c:v>
                </c:pt>
                <c:pt idx="18">
                  <c:v>0.25785721469478273</c:v>
                </c:pt>
                <c:pt idx="19">
                  <c:v>0.25785721469478273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F5-4AF7-B1EE-AE9352BDBD37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A!$F$21:$F$995</c:f>
              <c:numCache>
                <c:formatCode>General</c:formatCode>
                <c:ptCount val="975"/>
                <c:pt idx="0">
                  <c:v>-13975</c:v>
                </c:pt>
                <c:pt idx="1">
                  <c:v>-2240</c:v>
                </c:pt>
                <c:pt idx="2">
                  <c:v>0</c:v>
                </c:pt>
                <c:pt idx="3">
                  <c:v>3990</c:v>
                </c:pt>
                <c:pt idx="4">
                  <c:v>4899</c:v>
                </c:pt>
                <c:pt idx="5">
                  <c:v>4909</c:v>
                </c:pt>
                <c:pt idx="6">
                  <c:v>6202</c:v>
                </c:pt>
                <c:pt idx="7">
                  <c:v>6506</c:v>
                </c:pt>
                <c:pt idx="8">
                  <c:v>7032</c:v>
                </c:pt>
                <c:pt idx="9">
                  <c:v>7303</c:v>
                </c:pt>
                <c:pt idx="10">
                  <c:v>7382</c:v>
                </c:pt>
                <c:pt idx="11">
                  <c:v>8344</c:v>
                </c:pt>
                <c:pt idx="12">
                  <c:v>11792</c:v>
                </c:pt>
                <c:pt idx="13">
                  <c:v>12876</c:v>
                </c:pt>
                <c:pt idx="14">
                  <c:v>16442</c:v>
                </c:pt>
                <c:pt idx="15">
                  <c:v>16442</c:v>
                </c:pt>
                <c:pt idx="16">
                  <c:v>16442</c:v>
                </c:pt>
                <c:pt idx="17">
                  <c:v>16445</c:v>
                </c:pt>
                <c:pt idx="18">
                  <c:v>16445</c:v>
                </c:pt>
                <c:pt idx="19">
                  <c:v>16445</c:v>
                </c:pt>
              </c:numCache>
            </c:numRef>
          </c:xVal>
          <c:yVal>
            <c:numRef>
              <c:f>A!$U$21:$U$995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F5-4AF7-B1EE-AE9352BDB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637192"/>
        <c:axId val="1"/>
      </c:scatterChart>
      <c:valAx>
        <c:axId val="545637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38632596631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637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7074368304259"/>
          <c:y val="0.9204921861831491"/>
          <c:w val="0.7147107205952896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219075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025886E6-6CD2-8358-C038-DE503F2C7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219075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219275-3A9E-F38A-DAD1-664E604A7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5694" TargetMode="External"/><Relationship Id="rId7" Type="http://schemas.openxmlformats.org/officeDocument/2006/relationships/hyperlink" Target="http://www.konkoly.hu/cgi-bin/IBVS?5992" TargetMode="External"/><Relationship Id="rId12" Type="http://schemas.openxmlformats.org/officeDocument/2006/relationships/hyperlink" Target="http://www.konkoly.hu/cgi-bin/IBVS?6063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2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920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871" TargetMode="External"/><Relationship Id="rId9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ht="12.95" customHeight="1" x14ac:dyDescent="0.2">
      <c r="A2" t="s">
        <v>25</v>
      </c>
      <c r="B2" t="s">
        <v>29</v>
      </c>
    </row>
    <row r="3" spans="1:6" ht="12.95" customHeight="1" x14ac:dyDescent="0.2"/>
    <row r="4" spans="1:6" ht="12.95" customHeight="1" thickTop="1" thickBot="1" x14ac:dyDescent="0.25">
      <c r="A4" s="5" t="s">
        <v>2</v>
      </c>
      <c r="C4" s="14" t="s">
        <v>33</v>
      </c>
      <c r="D4" s="15" t="s">
        <v>33</v>
      </c>
    </row>
    <row r="5" spans="1:6" ht="12.95" customHeight="1" thickTop="1" x14ac:dyDescent="0.2">
      <c r="A5" s="16" t="s">
        <v>35</v>
      </c>
      <c r="B5" s="13"/>
      <c r="C5" s="17">
        <v>-9.5</v>
      </c>
      <c r="D5" s="13" t="s">
        <v>36</v>
      </c>
    </row>
    <row r="6" spans="1:6" ht="12.95" customHeight="1" x14ac:dyDescent="0.2">
      <c r="A6" s="5" t="s">
        <v>3</v>
      </c>
    </row>
    <row r="7" spans="1:6" ht="12.95" customHeight="1" x14ac:dyDescent="0.2">
      <c r="A7" t="s">
        <v>4</v>
      </c>
      <c r="C7" s="12">
        <v>56297.66622711104</v>
      </c>
    </row>
    <row r="8" spans="1:6" ht="12.95" customHeight="1" x14ac:dyDescent="0.2">
      <c r="A8" t="s">
        <v>5</v>
      </c>
      <c r="C8" s="8">
        <v>0.34127864068074998</v>
      </c>
      <c r="D8" s="59" t="s">
        <v>130</v>
      </c>
    </row>
    <row r="9" spans="1:6" ht="12.95" customHeight="1" x14ac:dyDescent="0.2">
      <c r="A9" s="30" t="s">
        <v>41</v>
      </c>
      <c r="B9" s="31">
        <v>21</v>
      </c>
      <c r="C9" s="19" t="str">
        <f>"F"&amp;B9</f>
        <v>F21</v>
      </c>
      <c r="D9" s="20" t="str">
        <f>"G"&amp;B9</f>
        <v>G21</v>
      </c>
    </row>
    <row r="10" spans="1:6" ht="12.95" customHeight="1" thickBot="1" x14ac:dyDescent="0.25">
      <c r="A10" s="13"/>
      <c r="B10" s="13"/>
      <c r="C10" s="4" t="s">
        <v>21</v>
      </c>
      <c r="D10" s="4" t="s">
        <v>22</v>
      </c>
      <c r="E10" s="13"/>
    </row>
    <row r="11" spans="1:6" ht="12.95" customHeight="1" x14ac:dyDescent="0.2">
      <c r="A11" s="13" t="s">
        <v>17</v>
      </c>
      <c r="B11" s="13"/>
      <c r="C11" s="18">
        <f ca="1">INTERCEPT(INDIRECT($D$9):G992,INDIRECT($C$9):F992)</f>
        <v>5.516945795514646E-3</v>
      </c>
      <c r="D11" s="3"/>
      <c r="E11" s="13"/>
    </row>
    <row r="12" spans="1:6" ht="12.95" customHeight="1" x14ac:dyDescent="0.2">
      <c r="A12" s="13" t="s">
        <v>18</v>
      </c>
      <c r="B12" s="13"/>
      <c r="C12" s="18">
        <f ca="1">SLOPE(INDIRECT($D$9):G992,INDIRECT($C$9):F992)</f>
        <v>7.7145881647876901E-7</v>
      </c>
      <c r="D12" s="3"/>
      <c r="E12" s="13"/>
    </row>
    <row r="13" spans="1:6" ht="12.95" customHeight="1" x14ac:dyDescent="0.2">
      <c r="A13" s="13" t="s">
        <v>20</v>
      </c>
      <c r="B13" s="13"/>
      <c r="C13" s="3" t="s">
        <v>15</v>
      </c>
    </row>
    <row r="14" spans="1:6" ht="12.95" customHeight="1" x14ac:dyDescent="0.2">
      <c r="A14" s="13"/>
      <c r="B14" s="13"/>
      <c r="C14" s="13"/>
    </row>
    <row r="15" spans="1:6" ht="12.95" customHeight="1" x14ac:dyDescent="0.2">
      <c r="A15" s="21" t="s">
        <v>19</v>
      </c>
      <c r="B15" s="13"/>
      <c r="C15" s="22">
        <f ca="1">(C7+C11)+(C8+C12)*INT(MAX(F21:F3533))</f>
        <v>59661.321630104401</v>
      </c>
      <c r="E15" s="23" t="s">
        <v>45</v>
      </c>
      <c r="F15" s="17">
        <v>1</v>
      </c>
    </row>
    <row r="16" spans="1:6" ht="12.95" customHeight="1" x14ac:dyDescent="0.2">
      <c r="A16" s="25" t="s">
        <v>6</v>
      </c>
      <c r="B16" s="13"/>
      <c r="C16" s="26">
        <f ca="1">+C8+C12</f>
        <v>0.34127941213956647</v>
      </c>
      <c r="E16" s="23" t="s">
        <v>37</v>
      </c>
      <c r="F16" s="24">
        <f ca="1">NOW()+15018.5+$C$5/24</f>
        <v>60324.801055555552</v>
      </c>
    </row>
    <row r="17" spans="1:19" ht="12.95" customHeight="1" thickBot="1" x14ac:dyDescent="0.25">
      <c r="A17" s="23" t="s">
        <v>39</v>
      </c>
      <c r="B17" s="13"/>
      <c r="C17" s="13">
        <f>COUNT(C21:C2191)</f>
        <v>23</v>
      </c>
      <c r="E17" s="23" t="s">
        <v>46</v>
      </c>
      <c r="F17" s="24">
        <f ca="1">ROUND(2*(F16-$C$7)/$C$8,0)/2+F15</f>
        <v>11801</v>
      </c>
    </row>
    <row r="18" spans="1:19" ht="12.95" customHeight="1" thickTop="1" thickBot="1" x14ac:dyDescent="0.25">
      <c r="A18" s="25" t="s">
        <v>7</v>
      </c>
      <c r="B18" s="13"/>
      <c r="C18" s="28">
        <f ca="1">+C15</f>
        <v>59661.321630104401</v>
      </c>
      <c r="D18" s="29">
        <f ca="1">+C16</f>
        <v>0.34127941213956647</v>
      </c>
      <c r="E18" s="23" t="s">
        <v>38</v>
      </c>
      <c r="F18" s="20">
        <f ca="1">ROUND(2*(F16-$C$15)/$C$16,0)/2+F15</f>
        <v>1945</v>
      </c>
      <c r="S18">
        <f ca="1">SUM(S21:S32)</f>
        <v>3.4584022886634735E-4</v>
      </c>
    </row>
    <row r="19" spans="1:19" ht="12.95" customHeight="1" thickTop="1" x14ac:dyDescent="0.2">
      <c r="E19" s="23" t="s">
        <v>40</v>
      </c>
      <c r="F19" s="27">
        <f ca="1">+$C$15+$C$16*F18-15018.5-$C$5/24</f>
        <v>45307.005920049196</v>
      </c>
    </row>
    <row r="20" spans="1:19" ht="12.95" customHeight="1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S20" s="6" t="s">
        <v>129</v>
      </c>
    </row>
    <row r="21" spans="1:19" ht="12.95" customHeight="1" x14ac:dyDescent="0.2">
      <c r="A21" s="56" t="s">
        <v>68</v>
      </c>
      <c r="B21" s="57" t="s">
        <v>44</v>
      </c>
      <c r="C21" s="72">
        <v>48680.67</v>
      </c>
      <c r="D21" s="72" t="s">
        <v>61</v>
      </c>
      <c r="E21">
        <f t="shared" ref="E21:E32" si="0">+(C21-C$7)/C$8</f>
        <v>-22318.994859793704</v>
      </c>
      <c r="F21">
        <f t="shared" ref="F21:F32" si="1">ROUND(2*E21,0)/2</f>
        <v>-22319</v>
      </c>
      <c r="G21">
        <f t="shared" ref="G21:G32" si="2">+C21-(C$7+F21*C$8)</f>
        <v>1.7542426139698364E-3</v>
      </c>
      <c r="I21">
        <f>+G21</f>
        <v>1.7542426139698364E-3</v>
      </c>
      <c r="O21">
        <f t="shared" ref="O21:O32" ca="1" si="3">+C$11+C$12*$F21</f>
        <v>-1.1701243529474999E-2</v>
      </c>
      <c r="Q21" s="2">
        <f t="shared" ref="Q21:Q32" si="4">+C21-15018.5</f>
        <v>33662.17</v>
      </c>
      <c r="S21">
        <f ca="1">(O21-G21)^2</f>
        <v>1.8105010735643595E-4</v>
      </c>
    </row>
    <row r="22" spans="1:19" ht="12.95" customHeight="1" x14ac:dyDescent="0.2">
      <c r="A22" s="56" t="s">
        <v>97</v>
      </c>
      <c r="B22" s="57" t="s">
        <v>44</v>
      </c>
      <c r="C22" s="72">
        <v>55125.376799999998</v>
      </c>
      <c r="D22" s="72" t="s">
        <v>61</v>
      </c>
      <c r="E22">
        <f t="shared" si="0"/>
        <v>-3434.9920779474241</v>
      </c>
      <c r="F22">
        <f t="shared" si="1"/>
        <v>-3435</v>
      </c>
      <c r="G22">
        <f t="shared" si="2"/>
        <v>2.7036273313569836E-3</v>
      </c>
      <c r="K22">
        <f>+G22</f>
        <v>2.7036273313569836E-3</v>
      </c>
      <c r="O22">
        <f t="shared" ca="1" si="3"/>
        <v>2.8669847609100745E-3</v>
      </c>
      <c r="Q22" s="2">
        <f t="shared" si="4"/>
        <v>40106.876799999998</v>
      </c>
      <c r="S22">
        <f t="shared" ref="S22:S32" ca="1" si="5">(O22-G22)^2</f>
        <v>2.6685649790193035E-8</v>
      </c>
    </row>
    <row r="23" spans="1:19" ht="12.95" customHeight="1" x14ac:dyDescent="0.2">
      <c r="A23" s="56" t="s">
        <v>119</v>
      </c>
      <c r="B23" s="57" t="s">
        <v>44</v>
      </c>
      <c r="C23" s="72">
        <v>55942.397900000004</v>
      </c>
      <c r="D23" s="72" t="s">
        <v>61</v>
      </c>
      <c r="E23">
        <f t="shared" si="0"/>
        <v>-1040.9919777059035</v>
      </c>
      <c r="F23">
        <f t="shared" si="1"/>
        <v>-1041</v>
      </c>
      <c r="G23">
        <f t="shared" si="2"/>
        <v>2.7378376253182068E-3</v>
      </c>
      <c r="K23">
        <f>+G23</f>
        <v>2.7378376253182068E-3</v>
      </c>
      <c r="O23">
        <f t="shared" ca="1" si="3"/>
        <v>4.713857167560247E-3</v>
      </c>
      <c r="Q23" s="2">
        <f t="shared" si="4"/>
        <v>40923.897900000004</v>
      </c>
      <c r="S23">
        <f t="shared" ca="1" si="5"/>
        <v>3.9046532313224421E-6</v>
      </c>
    </row>
    <row r="24" spans="1:19" ht="12.95" customHeight="1" x14ac:dyDescent="0.2">
      <c r="A24" s="56" t="s">
        <v>119</v>
      </c>
      <c r="B24" s="57" t="s">
        <v>32</v>
      </c>
      <c r="C24" s="72">
        <v>55969.356599999999</v>
      </c>
      <c r="D24" s="72" t="s">
        <v>61</v>
      </c>
      <c r="E24">
        <f t="shared" si="0"/>
        <v>-961.99875402738394</v>
      </c>
      <c r="F24">
        <f t="shared" si="1"/>
        <v>-962</v>
      </c>
      <c r="G24">
        <f t="shared" si="2"/>
        <v>4.2522384319454432E-4</v>
      </c>
      <c r="K24">
        <f>+G24</f>
        <v>4.2522384319454432E-4</v>
      </c>
      <c r="O24">
        <f t="shared" ca="1" si="3"/>
        <v>4.7748024140620701E-3</v>
      </c>
      <c r="Q24" s="2">
        <f t="shared" si="4"/>
        <v>40950.856599999999</v>
      </c>
      <c r="S24">
        <f t="shared" ca="1" si="5"/>
        <v>1.8918833744149987E-5</v>
      </c>
    </row>
    <row r="25" spans="1:19" ht="12.95" customHeight="1" x14ac:dyDescent="0.2">
      <c r="A25" s="9" t="s">
        <v>30</v>
      </c>
      <c r="B25" s="10"/>
      <c r="C25" s="73">
        <v>52685.5697</v>
      </c>
      <c r="D25" s="73">
        <v>4.0000000000000002E-4</v>
      </c>
      <c r="E25">
        <f t="shared" si="0"/>
        <v>-10584.009945380629</v>
      </c>
      <c r="F25">
        <f t="shared" si="1"/>
        <v>-10584</v>
      </c>
      <c r="G25">
        <f t="shared" si="2"/>
        <v>-3.3941459842026234E-3</v>
      </c>
      <c r="J25">
        <f>+G25</f>
        <v>-3.3941459842026234E-3</v>
      </c>
      <c r="O25">
        <f t="shared" ca="1" si="3"/>
        <v>-2.6481743180966459E-3</v>
      </c>
      <c r="Q25" s="2">
        <f t="shared" si="4"/>
        <v>37667.0697</v>
      </c>
      <c r="R25" t="s">
        <v>55</v>
      </c>
      <c r="S25">
        <f t="shared" ca="1" si="5"/>
        <v>5.5647372663292787E-7</v>
      </c>
    </row>
    <row r="26" spans="1:19" ht="12.95" customHeight="1" x14ac:dyDescent="0.2">
      <c r="A26" s="33" t="s">
        <v>31</v>
      </c>
      <c r="B26" s="34" t="s">
        <v>32</v>
      </c>
      <c r="C26" s="74">
        <v>53450.034899999999</v>
      </c>
      <c r="D26" s="74">
        <v>4.0000000000000002E-4</v>
      </c>
      <c r="E26">
        <f t="shared" si="0"/>
        <v>-8344.0068837324798</v>
      </c>
      <c r="F26">
        <f t="shared" si="1"/>
        <v>-8344</v>
      </c>
      <c r="G26">
        <f t="shared" si="2"/>
        <v>-2.3492708642152138E-3</v>
      </c>
      <c r="K26">
        <f>+G26</f>
        <v>-2.3492708642152138E-3</v>
      </c>
      <c r="O26">
        <f t="shared" ca="1" si="3"/>
        <v>-9.2010656918420277E-4</v>
      </c>
      <c r="Q26" s="2">
        <f t="shared" si="4"/>
        <v>38431.534899999999</v>
      </c>
      <c r="R26" t="s">
        <v>53</v>
      </c>
      <c r="S26">
        <f t="shared" ca="1" si="5"/>
        <v>2.0425105821914866E-6</v>
      </c>
    </row>
    <row r="27" spans="1:19" ht="12.95" customHeight="1" x14ac:dyDescent="0.2">
      <c r="A27" s="36" t="s">
        <v>42</v>
      </c>
      <c r="B27" s="37" t="s">
        <v>32</v>
      </c>
      <c r="C27" s="39">
        <v>54811.739000000001</v>
      </c>
      <c r="D27" s="39">
        <v>5.9999999999999995E-4</v>
      </c>
      <c r="E27">
        <f t="shared" si="0"/>
        <v>-4354.000074974083</v>
      </c>
      <c r="F27">
        <f t="shared" si="1"/>
        <v>-4354</v>
      </c>
      <c r="G27">
        <f t="shared" si="2"/>
        <v>-2.5587054551579058E-5</v>
      </c>
      <c r="K27">
        <f>+G27</f>
        <v>-2.5587054551579058E-5</v>
      </c>
      <c r="O27">
        <f t="shared" ca="1" si="3"/>
        <v>2.1580141085660856E-3</v>
      </c>
      <c r="Q27" s="2">
        <f t="shared" si="4"/>
        <v>39793.239000000001</v>
      </c>
      <c r="R27" t="s">
        <v>53</v>
      </c>
      <c r="S27">
        <f t="shared" ca="1" si="5"/>
        <v>4.7681140395688181E-6</v>
      </c>
    </row>
    <row r="28" spans="1:19" ht="12.95" customHeight="1" x14ac:dyDescent="0.2">
      <c r="A28" s="39" t="s">
        <v>43</v>
      </c>
      <c r="B28" s="40" t="s">
        <v>44</v>
      </c>
      <c r="C28" s="39">
        <v>55121.964</v>
      </c>
      <c r="D28" s="39">
        <v>5.9999999999999995E-4</v>
      </c>
      <c r="E28">
        <f t="shared" si="0"/>
        <v>-3444.9921177776073</v>
      </c>
      <c r="F28">
        <f t="shared" si="1"/>
        <v>-3445</v>
      </c>
      <c r="G28">
        <f t="shared" si="2"/>
        <v>2.6900341399596073E-3</v>
      </c>
      <c r="K28">
        <f>+G28</f>
        <v>2.6900341399596073E-3</v>
      </c>
      <c r="O28">
        <f t="shared" ca="1" si="3"/>
        <v>2.859270172745287E-3</v>
      </c>
      <c r="Q28" s="2">
        <f t="shared" si="4"/>
        <v>40103.464</v>
      </c>
      <c r="R28" t="s">
        <v>53</v>
      </c>
      <c r="S28">
        <f t="shared" ca="1" si="5"/>
        <v>2.8640834793035647E-8</v>
      </c>
    </row>
    <row r="29" spans="1:19" ht="12.95" customHeight="1" x14ac:dyDescent="0.2">
      <c r="A29" s="39" t="s">
        <v>47</v>
      </c>
      <c r="B29" s="40" t="s">
        <v>32</v>
      </c>
      <c r="C29" s="39">
        <v>55566.6466</v>
      </c>
      <c r="D29" s="39">
        <v>5.0000000000000001E-4</v>
      </c>
      <c r="E29">
        <f t="shared" si="0"/>
        <v>-2142.0022819267911</v>
      </c>
      <c r="F29">
        <f t="shared" si="1"/>
        <v>-2142</v>
      </c>
      <c r="G29">
        <f t="shared" si="2"/>
        <v>-7.7877287549199536E-4</v>
      </c>
      <c r="K29">
        <f>+G29</f>
        <v>-7.7877287549199536E-4</v>
      </c>
      <c r="O29">
        <f t="shared" ca="1" si="3"/>
        <v>3.864481010617123E-3</v>
      </c>
      <c r="Q29" s="2">
        <f t="shared" si="4"/>
        <v>40548.1466</v>
      </c>
      <c r="R29" t="s">
        <v>53</v>
      </c>
      <c r="S29">
        <f t="shared" ca="1" si="5"/>
        <v>2.1559806650867428E-5</v>
      </c>
    </row>
    <row r="30" spans="1:19" ht="12.95" customHeight="1" x14ac:dyDescent="0.2">
      <c r="A30" s="39" t="s">
        <v>48</v>
      </c>
      <c r="B30" s="40" t="s">
        <v>32</v>
      </c>
      <c r="C30" s="39">
        <v>55670.396200000003</v>
      </c>
      <c r="D30" s="39">
        <v>3.5000000000000001E-3</v>
      </c>
      <c r="E30">
        <f t="shared" si="0"/>
        <v>-1837.9996646136976</v>
      </c>
      <c r="F30">
        <f t="shared" si="1"/>
        <v>-1838</v>
      </c>
      <c r="G30">
        <f t="shared" si="2"/>
        <v>1.1446018470451236E-4</v>
      </c>
      <c r="J30">
        <f>+G30</f>
        <v>1.1446018470451236E-4</v>
      </c>
      <c r="O30">
        <f t="shared" ca="1" si="3"/>
        <v>4.0990044908266691E-3</v>
      </c>
      <c r="Q30" s="2">
        <f t="shared" si="4"/>
        <v>40651.896200000003</v>
      </c>
      <c r="R30" t="s">
        <v>55</v>
      </c>
      <c r="S30">
        <f t="shared" ca="1" si="5"/>
        <v>1.58765933274505E-5</v>
      </c>
    </row>
    <row r="31" spans="1:19" ht="12.95" customHeight="1" x14ac:dyDescent="0.2">
      <c r="A31" s="39" t="s">
        <v>49</v>
      </c>
      <c r="B31" s="40" t="s">
        <v>32</v>
      </c>
      <c r="C31" s="39">
        <v>55849.905700000003</v>
      </c>
      <c r="D31" s="39">
        <v>5.0000000000000001E-4</v>
      </c>
      <c r="E31">
        <f t="shared" si="0"/>
        <v>-1312.0086455392786</v>
      </c>
      <c r="F31">
        <f t="shared" si="1"/>
        <v>-1312</v>
      </c>
      <c r="G31">
        <f t="shared" si="2"/>
        <v>-2.9505378915928304E-3</v>
      </c>
      <c r="K31">
        <f>+G31</f>
        <v>-2.9505378915928304E-3</v>
      </c>
      <c r="O31">
        <f t="shared" ca="1" si="3"/>
        <v>4.5047918282945009E-3</v>
      </c>
      <c r="Q31" s="2">
        <f t="shared" si="4"/>
        <v>40831.405700000003</v>
      </c>
      <c r="R31" t="s">
        <v>53</v>
      </c>
      <c r="S31">
        <f t="shared" ca="1" si="5"/>
        <v>5.5581941232235315E-5</v>
      </c>
    </row>
    <row r="32" spans="1:19" ht="12.95" customHeight="1" x14ac:dyDescent="0.2">
      <c r="A32" s="41" t="s">
        <v>50</v>
      </c>
      <c r="B32" s="42" t="s">
        <v>32</v>
      </c>
      <c r="C32" s="75">
        <v>56297.665300000001</v>
      </c>
      <c r="D32" s="75">
        <v>4.0000000000000002E-4</v>
      </c>
      <c r="E32">
        <f t="shared" si="0"/>
        <v>-2.7165809073087786E-3</v>
      </c>
      <c r="F32">
        <f t="shared" si="1"/>
        <v>0</v>
      </c>
      <c r="G32">
        <f t="shared" si="2"/>
        <v>-9.2711103934561834E-4</v>
      </c>
      <c r="K32">
        <f>+G32</f>
        <v>-9.2711103934561834E-4</v>
      </c>
      <c r="O32">
        <f t="shared" ca="1" si="3"/>
        <v>5.516945795514646E-3</v>
      </c>
      <c r="Q32" s="2">
        <f t="shared" si="4"/>
        <v>41279.165300000001</v>
      </c>
      <c r="R32" t="s">
        <v>53</v>
      </c>
      <c r="S32">
        <f t="shared" ca="1" si="5"/>
        <v>4.1525868490909289E-5</v>
      </c>
    </row>
    <row r="33" spans="1:19" ht="12.95" customHeight="1" x14ac:dyDescent="0.2">
      <c r="A33" s="60" t="s">
        <v>0</v>
      </c>
      <c r="B33" s="61" t="s">
        <v>32</v>
      </c>
      <c r="C33" s="76">
        <v>57474.397299999997</v>
      </c>
      <c r="D33" s="78">
        <v>4.3E-3</v>
      </c>
      <c r="E33">
        <f t="shared" ref="E33:E40" si="6">+(C33-C$7)/C$8</f>
        <v>3448.006797441898</v>
      </c>
      <c r="F33">
        <f t="shared" ref="F33:F40" si="7">ROUND(2*E33,0)/2</f>
        <v>3448</v>
      </c>
      <c r="G33">
        <f t="shared" ref="G33:G40" si="8">+C33-(C$7+F33*C$8)</f>
        <v>2.3198217313620262E-3</v>
      </c>
      <c r="K33">
        <f t="shared" ref="K33:K40" si="9">+G33</f>
        <v>2.3198217313620262E-3</v>
      </c>
      <c r="O33">
        <f t="shared" ref="O33:O40" ca="1" si="10">+C$11+C$12*$F33</f>
        <v>8.176935794733442E-3</v>
      </c>
      <c r="Q33" s="2">
        <f t="shared" ref="Q33:Q40" si="11">+C33-15018.5</f>
        <v>42455.897299999997</v>
      </c>
      <c r="R33" t="s">
        <v>53</v>
      </c>
      <c r="S33">
        <f t="shared" ref="S33:S40" ca="1" si="12">(O33-G33)^2</f>
        <v>3.4305785151343217E-5</v>
      </c>
    </row>
    <row r="34" spans="1:19" ht="12.95" customHeight="1" x14ac:dyDescent="0.2">
      <c r="A34" s="63" t="s">
        <v>132</v>
      </c>
      <c r="B34" s="64" t="s">
        <v>32</v>
      </c>
      <c r="C34" s="77">
        <v>57844.344359999988</v>
      </c>
      <c r="D34" s="77">
        <v>2.0000000000000001E-4</v>
      </c>
      <c r="E34">
        <f t="shared" si="6"/>
        <v>4532.0097671620551</v>
      </c>
      <c r="F34">
        <f t="shared" si="7"/>
        <v>4532</v>
      </c>
      <c r="G34">
        <f t="shared" si="8"/>
        <v>3.3333237879560329E-3</v>
      </c>
      <c r="K34">
        <f t="shared" si="9"/>
        <v>3.3333237879560329E-3</v>
      </c>
      <c r="O34">
        <f t="shared" ca="1" si="10"/>
        <v>9.0131971517964267E-3</v>
      </c>
      <c r="Q34" s="2">
        <f t="shared" si="11"/>
        <v>42825.844359999988</v>
      </c>
      <c r="R34" t="s">
        <v>53</v>
      </c>
      <c r="S34">
        <f t="shared" ca="1" si="12"/>
        <v>3.2260961429263587E-5</v>
      </c>
    </row>
    <row r="35" spans="1:19" ht="12.95" customHeight="1" x14ac:dyDescent="0.2">
      <c r="A35" s="63" t="s">
        <v>131</v>
      </c>
      <c r="B35" s="64" t="s">
        <v>32</v>
      </c>
      <c r="C35" s="77">
        <v>59061.34992699977</v>
      </c>
      <c r="D35" s="77">
        <v>1.5723999999999998E-2</v>
      </c>
      <c r="E35">
        <f t="shared" si="6"/>
        <v>8098.0271556872076</v>
      </c>
      <c r="F35">
        <f t="shared" si="7"/>
        <v>8098</v>
      </c>
      <c r="G35">
        <f t="shared" si="8"/>
        <v>9.267656016163528E-3</v>
      </c>
      <c r="K35">
        <f t="shared" si="9"/>
        <v>9.267656016163528E-3</v>
      </c>
      <c r="O35">
        <f t="shared" ca="1" si="10"/>
        <v>1.1764219291359717E-2</v>
      </c>
      <c r="Q35" s="2">
        <f t="shared" si="11"/>
        <v>44042.84992699977</v>
      </c>
      <c r="R35" t="s">
        <v>53</v>
      </c>
      <c r="S35">
        <f t="shared" ca="1" si="12"/>
        <v>6.2328281870583222E-6</v>
      </c>
    </row>
    <row r="36" spans="1:19" ht="12.95" customHeight="1" x14ac:dyDescent="0.2">
      <c r="A36" s="63" t="s">
        <v>131</v>
      </c>
      <c r="B36" s="64" t="s">
        <v>32</v>
      </c>
      <c r="C36" s="77">
        <v>59061.351974999998</v>
      </c>
      <c r="D36" s="77">
        <v>1.7968999999999999E-2</v>
      </c>
      <c r="E36">
        <f t="shared" si="6"/>
        <v>8098.0331566494224</v>
      </c>
      <c r="F36">
        <f t="shared" si="7"/>
        <v>8098</v>
      </c>
      <c r="G36">
        <f t="shared" si="8"/>
        <v>1.1315656243823469E-2</v>
      </c>
      <c r="K36">
        <f t="shared" si="9"/>
        <v>1.1315656243823469E-2</v>
      </c>
      <c r="O36">
        <f t="shared" ca="1" si="10"/>
        <v>1.1764219291359717E-2</v>
      </c>
      <c r="Q36" s="2">
        <f t="shared" si="11"/>
        <v>44042.851974999998</v>
      </c>
      <c r="R36" t="s">
        <v>53</v>
      </c>
      <c r="S36">
        <f t="shared" ca="1" si="12"/>
        <v>2.0120880761500654E-7</v>
      </c>
    </row>
    <row r="37" spans="1:19" ht="12.95" customHeight="1" x14ac:dyDescent="0.2">
      <c r="A37" s="63" t="s">
        <v>131</v>
      </c>
      <c r="B37" s="64" t="s">
        <v>32</v>
      </c>
      <c r="C37" s="77">
        <v>59061.354958999902</v>
      </c>
      <c r="D37" s="77">
        <v>6.4999999999999997E-4</v>
      </c>
      <c r="E37">
        <f t="shared" si="6"/>
        <v>8098.0419002376484</v>
      </c>
      <c r="F37">
        <f t="shared" si="7"/>
        <v>8098</v>
      </c>
      <c r="G37">
        <f t="shared" si="8"/>
        <v>1.4299656148068607E-2</v>
      </c>
      <c r="K37">
        <f t="shared" si="9"/>
        <v>1.4299656148068607E-2</v>
      </c>
      <c r="O37">
        <f t="shared" ca="1" si="10"/>
        <v>1.1764219291359717E-2</v>
      </c>
      <c r="Q37" s="2">
        <f t="shared" si="11"/>
        <v>44042.854958999902</v>
      </c>
      <c r="R37" t="s">
        <v>53</v>
      </c>
      <c r="S37">
        <f t="shared" ca="1" si="12"/>
        <v>6.4284400543578561E-6</v>
      </c>
    </row>
    <row r="38" spans="1:19" ht="12.95" customHeight="1" x14ac:dyDescent="0.2">
      <c r="A38" s="63" t="s">
        <v>131</v>
      </c>
      <c r="B38" s="64" t="s">
        <v>44</v>
      </c>
      <c r="C38" s="77">
        <v>59062.380073000211</v>
      </c>
      <c r="D38" s="77">
        <v>1.0790000000000001E-3</v>
      </c>
      <c r="E38">
        <f t="shared" si="6"/>
        <v>8101.0456452076369</v>
      </c>
      <c r="F38">
        <f t="shared" si="7"/>
        <v>8101</v>
      </c>
      <c r="G38">
        <f t="shared" si="8"/>
        <v>1.5577734418911859E-2</v>
      </c>
      <c r="K38">
        <f t="shared" si="9"/>
        <v>1.5577734418911859E-2</v>
      </c>
      <c r="O38">
        <f t="shared" ca="1" si="10"/>
        <v>1.1766533667809154E-2</v>
      </c>
      <c r="Q38" s="2">
        <f t="shared" si="11"/>
        <v>44043.880073000211</v>
      </c>
      <c r="R38" t="s">
        <v>53</v>
      </c>
      <c r="S38">
        <f t="shared" ca="1" si="12"/>
        <v>1.4525251165205823E-5</v>
      </c>
    </row>
    <row r="39" spans="1:19" ht="12.95" customHeight="1" x14ac:dyDescent="0.2">
      <c r="A39" s="63" t="s">
        <v>131</v>
      </c>
      <c r="B39" s="64" t="s">
        <v>44</v>
      </c>
      <c r="C39" s="77">
        <v>59062.382098000031</v>
      </c>
      <c r="D39" s="77">
        <v>6.6420000000000003E-3</v>
      </c>
      <c r="E39">
        <f t="shared" si="6"/>
        <v>8101.0515787750455</v>
      </c>
      <c r="F39">
        <f t="shared" si="7"/>
        <v>8101</v>
      </c>
      <c r="G39">
        <f t="shared" si="8"/>
        <v>1.7602734238607809E-2</v>
      </c>
      <c r="K39">
        <f t="shared" si="9"/>
        <v>1.7602734238607809E-2</v>
      </c>
      <c r="O39">
        <f t="shared" ca="1" si="10"/>
        <v>1.1766533667809154E-2</v>
      </c>
      <c r="Q39" s="2">
        <f t="shared" si="11"/>
        <v>44043.882098000031</v>
      </c>
      <c r="R39" t="s">
        <v>53</v>
      </c>
      <c r="S39">
        <f t="shared" ca="1" si="12"/>
        <v>3.4061237102590543E-5</v>
      </c>
    </row>
    <row r="40" spans="1:19" ht="12.95" customHeight="1" x14ac:dyDescent="0.2">
      <c r="A40" s="63" t="s">
        <v>131</v>
      </c>
      <c r="B40" s="64" t="s">
        <v>44</v>
      </c>
      <c r="C40" s="77">
        <v>59062.38238100009</v>
      </c>
      <c r="D40" s="77">
        <v>5.2760000000000003E-3</v>
      </c>
      <c r="E40">
        <f t="shared" si="6"/>
        <v>8101.052408009652</v>
      </c>
      <c r="F40">
        <f t="shared" si="7"/>
        <v>8101</v>
      </c>
      <c r="G40">
        <f t="shared" si="8"/>
        <v>1.788573429803364E-2</v>
      </c>
      <c r="K40">
        <f t="shared" si="9"/>
        <v>1.788573429803364E-2</v>
      </c>
      <c r="O40">
        <f t="shared" ca="1" si="10"/>
        <v>1.1766533667809154E-2</v>
      </c>
      <c r="Q40" s="2">
        <f t="shared" si="11"/>
        <v>44043.88238100009</v>
      </c>
      <c r="R40" t="s">
        <v>53</v>
      </c>
      <c r="S40">
        <f t="shared" ca="1" si="12"/>
        <v>3.7444616352939738E-5</v>
      </c>
    </row>
    <row r="41" spans="1:19" ht="12.95" customHeight="1" x14ac:dyDescent="0.2">
      <c r="A41" s="68" t="s">
        <v>134</v>
      </c>
      <c r="B41" s="69" t="s">
        <v>32</v>
      </c>
      <c r="C41" s="70">
        <v>59489.321199999998</v>
      </c>
      <c r="D41" s="71">
        <v>2.0999999999999999E-3</v>
      </c>
      <c r="E41">
        <f t="shared" ref="E41:E43" si="13">+(C41-C$7)/C$8</f>
        <v>9352.0501796495391</v>
      </c>
      <c r="F41">
        <f t="shared" ref="F41:F43" si="14">ROUND(2*E41,0)/2</f>
        <v>9352</v>
      </c>
      <c r="G41">
        <f t="shared" ref="G41:G43" si="15">+C41-(C$7+F41*C$8)</f>
        <v>1.7125242586189415E-2</v>
      </c>
      <c r="K41">
        <f t="shared" ref="K41:K43" si="16">+G41</f>
        <v>1.7125242586189415E-2</v>
      </c>
      <c r="O41">
        <f t="shared" ref="O41:O43" ca="1" si="17">+C$11+C$12*$F41</f>
        <v>1.2731628647224094E-2</v>
      </c>
      <c r="Q41" s="2">
        <f t="shared" ref="Q41:Q43" si="18">+C41-15018.5</f>
        <v>44470.821199999998</v>
      </c>
      <c r="R41" t="s">
        <v>53</v>
      </c>
      <c r="S41">
        <f t="shared" ref="S41:S43" ca="1" si="19">(O41-G41)^2</f>
        <v>1.9303843444670367E-5</v>
      </c>
    </row>
    <row r="42" spans="1:19" ht="12.95" customHeight="1" x14ac:dyDescent="0.2">
      <c r="A42" s="68" t="s">
        <v>135</v>
      </c>
      <c r="B42" s="69" t="s">
        <v>44</v>
      </c>
      <c r="C42" s="70">
        <v>59658.597900000001</v>
      </c>
      <c r="D42" s="71">
        <v>2E-3</v>
      </c>
      <c r="E42">
        <f t="shared" si="13"/>
        <v>9848.057488112634</v>
      </c>
      <c r="F42">
        <f t="shared" si="14"/>
        <v>9848</v>
      </c>
      <c r="G42">
        <f t="shared" si="15"/>
        <v>1.9619464932475239E-2</v>
      </c>
      <c r="K42">
        <f t="shared" si="16"/>
        <v>1.9619464932475239E-2</v>
      </c>
      <c r="O42">
        <f t="shared" ca="1" si="17"/>
        <v>1.3114272220197563E-2</v>
      </c>
      <c r="Q42" s="2">
        <f t="shared" si="18"/>
        <v>44640.097900000001</v>
      </c>
      <c r="R42" t="s">
        <v>53</v>
      </c>
      <c r="S42">
        <f t="shared" ca="1" si="19"/>
        <v>4.2317532223870588E-5</v>
      </c>
    </row>
    <row r="43" spans="1:19" ht="12.95" customHeight="1" x14ac:dyDescent="0.2">
      <c r="A43" s="68" t="s">
        <v>135</v>
      </c>
      <c r="B43" s="69" t="s">
        <v>44</v>
      </c>
      <c r="C43" s="70">
        <v>59661.326999999997</v>
      </c>
      <c r="D43" s="71">
        <v>2E-3</v>
      </c>
      <c r="E43">
        <f t="shared" si="13"/>
        <v>9856.0541795977879</v>
      </c>
      <c r="F43">
        <f t="shared" si="14"/>
        <v>9856</v>
      </c>
      <c r="G43">
        <f t="shared" si="15"/>
        <v>1.849033948383294E-2</v>
      </c>
      <c r="K43">
        <f t="shared" si="16"/>
        <v>1.849033948383294E-2</v>
      </c>
      <c r="O43">
        <f t="shared" ca="1" si="17"/>
        <v>1.3120443890729394E-2</v>
      </c>
      <c r="Q43" s="2">
        <f t="shared" si="18"/>
        <v>44642.826999999997</v>
      </c>
      <c r="R43" t="s">
        <v>53</v>
      </c>
      <c r="S43">
        <f t="shared" ca="1" si="19"/>
        <v>2.8835778680832892E-5</v>
      </c>
    </row>
    <row r="44" spans="1:19" ht="12.95" customHeight="1" x14ac:dyDescent="0.2">
      <c r="C44" s="73"/>
      <c r="D44" s="73"/>
    </row>
    <row r="45" spans="1:19" ht="12.95" customHeight="1" x14ac:dyDescent="0.2">
      <c r="C45" s="73"/>
      <c r="D45" s="73"/>
    </row>
    <row r="46" spans="1:19" ht="12.95" customHeight="1" x14ac:dyDescent="0.2">
      <c r="C46" s="73"/>
      <c r="D46" s="73"/>
    </row>
    <row r="47" spans="1:19" ht="12.95" customHeight="1" x14ac:dyDescent="0.2">
      <c r="C47" s="73"/>
      <c r="D47" s="73"/>
    </row>
    <row r="48" spans="1:19" ht="12.95" customHeight="1" x14ac:dyDescent="0.2">
      <c r="C48" s="73"/>
      <c r="D48" s="73"/>
    </row>
    <row r="49" spans="3:4" ht="12.95" customHeight="1" x14ac:dyDescent="0.2">
      <c r="C49" s="73"/>
      <c r="D49" s="73"/>
    </row>
    <row r="50" spans="3:4" ht="12.95" customHeight="1" x14ac:dyDescent="0.2">
      <c r="C50" s="73"/>
      <c r="D50" s="73"/>
    </row>
    <row r="51" spans="3:4" ht="12.95" customHeight="1" x14ac:dyDescent="0.2">
      <c r="C51" s="73"/>
      <c r="D51" s="73"/>
    </row>
    <row r="52" spans="3:4" ht="12.95" customHeight="1" x14ac:dyDescent="0.2">
      <c r="C52" s="73"/>
      <c r="D52" s="73"/>
    </row>
    <row r="53" spans="3:4" ht="12.95" customHeight="1" x14ac:dyDescent="0.2">
      <c r="C53" s="73"/>
      <c r="D53" s="73"/>
    </row>
    <row r="54" spans="3:4" ht="12.95" customHeight="1" x14ac:dyDescent="0.2">
      <c r="C54" s="73"/>
      <c r="D54" s="73"/>
    </row>
    <row r="55" spans="3:4" ht="12.95" customHeight="1" x14ac:dyDescent="0.2">
      <c r="C55" s="73"/>
      <c r="D55" s="73"/>
    </row>
    <row r="56" spans="3:4" ht="12.95" customHeight="1" x14ac:dyDescent="0.2">
      <c r="C56" s="73"/>
      <c r="D56" s="73"/>
    </row>
    <row r="57" spans="3:4" ht="12.95" customHeight="1" x14ac:dyDescent="0.2">
      <c r="C57" s="73"/>
      <c r="D57" s="73"/>
    </row>
    <row r="58" spans="3:4" ht="12.95" customHeight="1" x14ac:dyDescent="0.2">
      <c r="C58" s="73"/>
      <c r="D58" s="73"/>
    </row>
    <row r="59" spans="3:4" ht="12.95" customHeight="1" x14ac:dyDescent="0.2">
      <c r="C59" s="73"/>
      <c r="D59" s="73"/>
    </row>
    <row r="60" spans="3:4" ht="12.95" customHeight="1" x14ac:dyDescent="0.2">
      <c r="C60" s="73"/>
      <c r="D60" s="73"/>
    </row>
    <row r="61" spans="3:4" ht="12.95" customHeight="1" x14ac:dyDescent="0.2">
      <c r="C61" s="73"/>
      <c r="D61" s="73"/>
    </row>
    <row r="62" spans="3:4" ht="12.95" customHeight="1" x14ac:dyDescent="0.2">
      <c r="C62" s="73"/>
      <c r="D62" s="73"/>
    </row>
    <row r="63" spans="3:4" ht="12.95" customHeight="1" x14ac:dyDescent="0.2">
      <c r="C63" s="73"/>
      <c r="D63" s="73"/>
    </row>
    <row r="64" spans="3:4" ht="12.95" customHeight="1" x14ac:dyDescent="0.2">
      <c r="C64" s="73"/>
      <c r="D64" s="73"/>
    </row>
    <row r="65" spans="3:4" ht="12.95" customHeight="1" x14ac:dyDescent="0.2">
      <c r="C65" s="73"/>
      <c r="D65" s="73"/>
    </row>
    <row r="66" spans="3:4" ht="12.95" customHeight="1" x14ac:dyDescent="0.2">
      <c r="C66" s="73"/>
      <c r="D66" s="73"/>
    </row>
    <row r="67" spans="3:4" ht="12.95" customHeight="1" x14ac:dyDescent="0.2">
      <c r="C67" s="73"/>
      <c r="D67" s="73"/>
    </row>
    <row r="68" spans="3:4" ht="12.95" customHeight="1" x14ac:dyDescent="0.2">
      <c r="C68" s="73"/>
      <c r="D68" s="73"/>
    </row>
    <row r="69" spans="3:4" ht="12.95" customHeight="1" x14ac:dyDescent="0.2">
      <c r="C69" s="73"/>
      <c r="D69" s="73"/>
    </row>
    <row r="70" spans="3:4" ht="12.95" customHeight="1" x14ac:dyDescent="0.2">
      <c r="C70" s="73"/>
      <c r="D70" s="73"/>
    </row>
    <row r="71" spans="3:4" ht="12.95" customHeight="1" x14ac:dyDescent="0.2">
      <c r="C71" s="73"/>
      <c r="D71" s="73"/>
    </row>
    <row r="72" spans="3:4" ht="12.95" customHeight="1" x14ac:dyDescent="0.2">
      <c r="C72" s="73"/>
      <c r="D72" s="73"/>
    </row>
    <row r="73" spans="3:4" ht="12.95" customHeight="1" x14ac:dyDescent="0.2">
      <c r="C73" s="73"/>
      <c r="D73" s="73"/>
    </row>
    <row r="74" spans="3:4" ht="12.95" customHeight="1" x14ac:dyDescent="0.2">
      <c r="C74" s="73"/>
      <c r="D74" s="73"/>
    </row>
    <row r="75" spans="3:4" ht="12.95" customHeight="1" x14ac:dyDescent="0.2">
      <c r="C75" s="73"/>
      <c r="D75" s="73"/>
    </row>
    <row r="76" spans="3:4" ht="12.95" customHeight="1" x14ac:dyDescent="0.2">
      <c r="C76" s="73"/>
      <c r="D76" s="73"/>
    </row>
    <row r="77" spans="3:4" ht="12.95" customHeight="1" x14ac:dyDescent="0.2">
      <c r="C77" s="73"/>
      <c r="D77" s="73"/>
    </row>
    <row r="78" spans="3:4" ht="12.95" customHeight="1" x14ac:dyDescent="0.2">
      <c r="C78" s="73"/>
      <c r="D78" s="73"/>
    </row>
    <row r="79" spans="3:4" ht="12.95" customHeight="1" x14ac:dyDescent="0.2">
      <c r="C79" s="73"/>
      <c r="D79" s="73"/>
    </row>
    <row r="80" spans="3:4" ht="12.95" customHeight="1" x14ac:dyDescent="0.2">
      <c r="C80" s="73"/>
      <c r="D80" s="73"/>
    </row>
    <row r="81" spans="3:4" ht="12.95" customHeight="1" x14ac:dyDescent="0.2">
      <c r="C81" s="73"/>
      <c r="D81" s="73"/>
    </row>
    <row r="82" spans="3:4" ht="12.95" customHeight="1" x14ac:dyDescent="0.2">
      <c r="C82" s="73"/>
      <c r="D82" s="73"/>
    </row>
    <row r="83" spans="3:4" ht="12.95" customHeight="1" x14ac:dyDescent="0.2">
      <c r="C83" s="73"/>
      <c r="D83" s="73"/>
    </row>
    <row r="84" spans="3:4" ht="12.95" customHeight="1" x14ac:dyDescent="0.2">
      <c r="C84" s="73"/>
      <c r="D84" s="73"/>
    </row>
    <row r="85" spans="3:4" ht="12.95" customHeight="1" x14ac:dyDescent="0.2">
      <c r="C85" s="73"/>
      <c r="D85" s="73"/>
    </row>
    <row r="86" spans="3:4" ht="12.95" customHeight="1" x14ac:dyDescent="0.2">
      <c r="C86" s="73"/>
      <c r="D86" s="73"/>
    </row>
    <row r="87" spans="3:4" ht="12.95" customHeight="1" x14ac:dyDescent="0.2">
      <c r="C87" s="73"/>
      <c r="D87" s="73"/>
    </row>
    <row r="88" spans="3:4" ht="12.95" customHeight="1" x14ac:dyDescent="0.2">
      <c r="C88" s="73"/>
      <c r="D88" s="73"/>
    </row>
    <row r="89" spans="3:4" ht="12.95" customHeight="1" x14ac:dyDescent="0.2">
      <c r="C89" s="73"/>
      <c r="D89" s="73"/>
    </row>
    <row r="90" spans="3:4" ht="12.95" customHeight="1" x14ac:dyDescent="0.2">
      <c r="C90" s="73"/>
      <c r="D90" s="73"/>
    </row>
    <row r="91" spans="3:4" ht="12.95" customHeight="1" x14ac:dyDescent="0.2">
      <c r="C91" s="73"/>
      <c r="D91" s="73"/>
    </row>
    <row r="92" spans="3:4" ht="12.95" customHeight="1" x14ac:dyDescent="0.2">
      <c r="C92" s="73"/>
      <c r="D92" s="73"/>
    </row>
    <row r="93" spans="3:4" ht="12.95" customHeight="1" x14ac:dyDescent="0.2">
      <c r="C93" s="73"/>
      <c r="D93" s="73"/>
    </row>
    <row r="94" spans="3:4" ht="12.95" customHeight="1" x14ac:dyDescent="0.2">
      <c r="C94" s="73"/>
      <c r="D94" s="73"/>
    </row>
    <row r="95" spans="3:4" ht="12.95" customHeight="1" x14ac:dyDescent="0.2">
      <c r="C95" s="73"/>
      <c r="D95" s="73"/>
    </row>
    <row r="96" spans="3:4" ht="12.95" customHeight="1" x14ac:dyDescent="0.2">
      <c r="C96" s="73"/>
      <c r="D96" s="73"/>
    </row>
    <row r="97" spans="3:4" ht="12.95" customHeight="1" x14ac:dyDescent="0.2">
      <c r="C97" s="73"/>
      <c r="D97" s="73"/>
    </row>
    <row r="98" spans="3:4" ht="12.95" customHeight="1" x14ac:dyDescent="0.2">
      <c r="C98" s="73"/>
      <c r="D98" s="73"/>
    </row>
    <row r="99" spans="3:4" ht="12.95" customHeight="1" x14ac:dyDescent="0.2">
      <c r="C99" s="73"/>
      <c r="D99" s="73"/>
    </row>
    <row r="100" spans="3:4" ht="12.95" customHeight="1" x14ac:dyDescent="0.2">
      <c r="C100" s="73"/>
      <c r="D100" s="73"/>
    </row>
    <row r="101" spans="3:4" ht="12.95" customHeight="1" x14ac:dyDescent="0.2">
      <c r="C101" s="73"/>
      <c r="D101" s="73"/>
    </row>
    <row r="102" spans="3:4" ht="12.95" customHeight="1" x14ac:dyDescent="0.2">
      <c r="C102" s="73"/>
      <c r="D102" s="73"/>
    </row>
    <row r="103" spans="3:4" ht="12.95" customHeight="1" x14ac:dyDescent="0.2"/>
    <row r="104" spans="3:4" ht="12.95" customHeight="1" x14ac:dyDescent="0.2"/>
    <row r="105" spans="3:4" ht="12.95" customHeight="1" x14ac:dyDescent="0.2"/>
    <row r="106" spans="3:4" ht="12.95" customHeight="1" x14ac:dyDescent="0.2"/>
    <row r="107" spans="3:4" ht="12.95" customHeight="1" x14ac:dyDescent="0.2"/>
    <row r="108" spans="3:4" ht="12.95" customHeight="1" x14ac:dyDescent="0.2"/>
    <row r="109" spans="3:4" ht="12.95" customHeight="1" x14ac:dyDescent="0.2"/>
    <row r="110" spans="3:4" ht="12.95" customHeight="1" x14ac:dyDescent="0.2"/>
    <row r="111" spans="3:4" ht="12.95" customHeight="1" x14ac:dyDescent="0.2"/>
    <row r="112" spans="3:4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</sheetData>
  <protectedRanges>
    <protectedRange sqref="A34:D40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U48"/>
  <sheetViews>
    <sheetView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25</v>
      </c>
      <c r="B2" t="s">
        <v>29</v>
      </c>
    </row>
    <row r="4" spans="1:6" ht="14.25" thickTop="1" thickBot="1" x14ac:dyDescent="0.25">
      <c r="A4" s="5" t="s">
        <v>2</v>
      </c>
      <c r="C4" s="14" t="s">
        <v>33</v>
      </c>
      <c r="D4" s="15" t="s">
        <v>33</v>
      </c>
    </row>
    <row r="5" spans="1:6" ht="13.5" thickTop="1" x14ac:dyDescent="0.2">
      <c r="A5" s="16" t="s">
        <v>35</v>
      </c>
      <c r="B5" s="13"/>
      <c r="C5" s="17">
        <v>8</v>
      </c>
      <c r="D5" s="13" t="s">
        <v>36</v>
      </c>
    </row>
    <row r="6" spans="1:6" x14ac:dyDescent="0.2">
      <c r="A6" s="5" t="s">
        <v>3</v>
      </c>
    </row>
    <row r="7" spans="1:6" x14ac:dyDescent="0.2">
      <c r="A7" t="s">
        <v>4</v>
      </c>
      <c r="C7" s="12">
        <v>53450.034899999999</v>
      </c>
    </row>
    <row r="8" spans="1:6" x14ac:dyDescent="0.2">
      <c r="A8" t="s">
        <v>5</v>
      </c>
      <c r="C8" s="8">
        <v>0.3412637</v>
      </c>
    </row>
    <row r="9" spans="1:6" x14ac:dyDescent="0.2">
      <c r="A9" s="30" t="s">
        <v>41</v>
      </c>
      <c r="B9" s="31">
        <v>21</v>
      </c>
      <c r="C9" s="19" t="str">
        <f>"F"&amp;B9</f>
        <v>F21</v>
      </c>
      <c r="D9" s="20" t="str">
        <f>"G"&amp;B9</f>
        <v>G21</v>
      </c>
    </row>
    <row r="10" spans="1:6" ht="13.5" thickBot="1" x14ac:dyDescent="0.25">
      <c r="A10" s="13"/>
      <c r="B10" s="13"/>
      <c r="C10" s="4" t="s">
        <v>21</v>
      </c>
      <c r="D10" s="4" t="s">
        <v>22</v>
      </c>
      <c r="E10" s="13"/>
    </row>
    <row r="11" spans="1:6" x14ac:dyDescent="0.2">
      <c r="A11" s="13" t="s">
        <v>17</v>
      </c>
      <c r="B11" s="13"/>
      <c r="C11" s="18">
        <f ca="1">INTERCEPT(INDIRECT($D$9):G992,INDIRECT($C$9):F992)</f>
        <v>1.7497234611095203E-3</v>
      </c>
      <c r="D11" s="3"/>
      <c r="E11" s="13"/>
    </row>
    <row r="12" spans="1:6" x14ac:dyDescent="0.2">
      <c r="A12" s="13" t="s">
        <v>18</v>
      </c>
      <c r="B12" s="13"/>
      <c r="C12" s="18">
        <f ca="1">SLOPE(INDIRECT($D$9):G992,INDIRECT($C$9):F992)</f>
        <v>1.5573578062248295E-5</v>
      </c>
      <c r="D12" s="3"/>
      <c r="E12" s="13"/>
    </row>
    <row r="13" spans="1:6" x14ac:dyDescent="0.2">
      <c r="A13" s="13" t="s">
        <v>20</v>
      </c>
      <c r="B13" s="13"/>
      <c r="C13" s="3" t="s">
        <v>15</v>
      </c>
    </row>
    <row r="14" spans="1:6" x14ac:dyDescent="0.2">
      <c r="A14" s="13"/>
      <c r="B14" s="13"/>
      <c r="C14" s="13"/>
    </row>
    <row r="15" spans="1:6" x14ac:dyDescent="0.2">
      <c r="A15" s="21" t="s">
        <v>19</v>
      </c>
      <c r="B15" s="13"/>
      <c r="C15" s="22">
        <f ca="1">(C7+C11)+(C8+C12)*INT(MAX(F21:F3533))</f>
        <v>59062.374303714692</v>
      </c>
      <c r="E15" s="23" t="s">
        <v>45</v>
      </c>
      <c r="F15" s="17">
        <v>1</v>
      </c>
    </row>
    <row r="16" spans="1:6" x14ac:dyDescent="0.2">
      <c r="A16" s="25" t="s">
        <v>6</v>
      </c>
      <c r="B16" s="13"/>
      <c r="C16" s="26">
        <f ca="1">+C8+C12</f>
        <v>0.34127927357806226</v>
      </c>
      <c r="E16" s="23" t="s">
        <v>37</v>
      </c>
      <c r="F16" s="24">
        <f ca="1">NOW()+15018.5+$C$5/24</f>
        <v>60325.530222222224</v>
      </c>
    </row>
    <row r="17" spans="1:21" ht="13.5" thickBot="1" x14ac:dyDescent="0.25">
      <c r="A17" s="23" t="s">
        <v>39</v>
      </c>
      <c r="B17" s="13"/>
      <c r="C17" s="13">
        <f>COUNT(C21:C2191)</f>
        <v>20</v>
      </c>
      <c r="E17" s="23" t="s">
        <v>46</v>
      </c>
      <c r="F17" s="24">
        <f ca="1">ROUND(2*(F16-$C$7)/$C$8,0)/2+F15</f>
        <v>20148</v>
      </c>
    </row>
    <row r="18" spans="1:21" ht="14.25" thickTop="1" thickBot="1" x14ac:dyDescent="0.25">
      <c r="A18" s="25" t="s">
        <v>7</v>
      </c>
      <c r="B18" s="13"/>
      <c r="C18" s="28">
        <f ca="1">+C15</f>
        <v>59062.374303714692</v>
      </c>
      <c r="D18" s="29">
        <f ca="1">+C16</f>
        <v>0.34127927357806226</v>
      </c>
      <c r="E18" s="23" t="s">
        <v>38</v>
      </c>
      <c r="F18" s="20">
        <f ca="1">ROUND(2*(F16-$C$15)/$C$16,0)/2+F15</f>
        <v>3702</v>
      </c>
    </row>
    <row r="19" spans="1:21" ht="13.5" thickTop="1" x14ac:dyDescent="0.2">
      <c r="E19" s="23" t="s">
        <v>40</v>
      </c>
      <c r="F19" s="27">
        <f ca="1">+$C$15+$C$16*F18-15018.5-$C$5/24</f>
        <v>45306.956841167346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66" t="s">
        <v>133</v>
      </c>
    </row>
    <row r="21" spans="1:21" x14ac:dyDescent="0.2">
      <c r="A21" s="56" t="s">
        <v>68</v>
      </c>
      <c r="B21" s="57" t="s">
        <v>44</v>
      </c>
      <c r="C21" s="56">
        <v>48680.67</v>
      </c>
      <c r="D21" s="56" t="s">
        <v>61</v>
      </c>
      <c r="E21">
        <f t="shared" ref="E21:E40" si="0">+(C21-C$7)/C$8</f>
        <v>-13975.599807421651</v>
      </c>
      <c r="F21" s="58">
        <f>ROUND(2*E21,0)/2+0.5</f>
        <v>-13975</v>
      </c>
      <c r="G21">
        <f t="shared" ref="G21:G40" si="1">+C21-(C$7+F21*C$8)</f>
        <v>-0.20469250000314787</v>
      </c>
      <c r="I21">
        <f>+G21</f>
        <v>-0.20469250000314787</v>
      </c>
      <c r="O21">
        <f t="shared" ref="O21:O40" ca="1" si="2">+C$11+C$12*$F21</f>
        <v>-0.2158910299588104</v>
      </c>
      <c r="Q21" s="2">
        <f t="shared" ref="Q21:Q40" si="3">+C21-15018.5</f>
        <v>33662.17</v>
      </c>
    </row>
    <row r="22" spans="1:21" x14ac:dyDescent="0.2">
      <c r="A22" s="9" t="s">
        <v>30</v>
      </c>
      <c r="B22" s="10"/>
      <c r="C22" s="11">
        <v>52685.5697</v>
      </c>
      <c r="D22" s="11">
        <v>4.0000000000000002E-4</v>
      </c>
      <c r="E22">
        <f t="shared" si="0"/>
        <v>-2240.1011300059126</v>
      </c>
      <c r="F22">
        <f>ROUND(2*E22,0)/2</f>
        <v>-2240</v>
      </c>
      <c r="G22">
        <f t="shared" si="1"/>
        <v>-3.4511999998358078E-2</v>
      </c>
      <c r="J22">
        <f>+G22</f>
        <v>-3.4511999998358078E-2</v>
      </c>
      <c r="O22">
        <f t="shared" ca="1" si="2"/>
        <v>-3.3135091398326662E-2</v>
      </c>
      <c r="Q22" s="2">
        <f t="shared" si="3"/>
        <v>37667.0697</v>
      </c>
    </row>
    <row r="23" spans="1:21" x14ac:dyDescent="0.2">
      <c r="A23" s="33" t="s">
        <v>31</v>
      </c>
      <c r="B23" s="34" t="s">
        <v>32</v>
      </c>
      <c r="C23" s="35">
        <v>53450.034899999999</v>
      </c>
      <c r="D23" s="35">
        <v>4.0000000000000002E-4</v>
      </c>
      <c r="E23">
        <f t="shared" si="0"/>
        <v>0</v>
      </c>
      <c r="F23">
        <f>ROUND(2*E23,0)/2</f>
        <v>0</v>
      </c>
      <c r="G23">
        <f t="shared" si="1"/>
        <v>0</v>
      </c>
      <c r="K23">
        <f>+G23</f>
        <v>0</v>
      </c>
      <c r="O23">
        <f t="shared" ca="1" si="2"/>
        <v>1.7497234611095203E-3</v>
      </c>
      <c r="Q23" s="2">
        <f t="shared" si="3"/>
        <v>38431.534899999999</v>
      </c>
    </row>
    <row r="24" spans="1:21" x14ac:dyDescent="0.2">
      <c r="A24" s="36" t="s">
        <v>42</v>
      </c>
      <c r="B24" s="37" t="s">
        <v>32</v>
      </c>
      <c r="C24" s="38">
        <v>54811.739000000001</v>
      </c>
      <c r="D24" s="38">
        <v>5.9999999999999995E-4</v>
      </c>
      <c r="E24">
        <f t="shared" si="0"/>
        <v>3990.1814930799924</v>
      </c>
      <c r="F24">
        <f>ROUND(2*E24,0)/2</f>
        <v>3990</v>
      </c>
      <c r="G24">
        <f t="shared" si="1"/>
        <v>6.1937000005855225E-2</v>
      </c>
      <c r="K24">
        <f>+G24</f>
        <v>6.1937000005855225E-2</v>
      </c>
      <c r="O24">
        <f t="shared" ca="1" si="2"/>
        <v>6.3888299929480225E-2</v>
      </c>
      <c r="Q24" s="2">
        <f t="shared" si="3"/>
        <v>39793.239000000001</v>
      </c>
    </row>
    <row r="25" spans="1:21" x14ac:dyDescent="0.2">
      <c r="A25" s="39" t="s">
        <v>43</v>
      </c>
      <c r="B25" s="40" t="s">
        <v>44</v>
      </c>
      <c r="C25" s="39">
        <v>55121.964</v>
      </c>
      <c r="D25" s="39">
        <v>5.9999999999999995E-4</v>
      </c>
      <c r="E25">
        <f t="shared" si="0"/>
        <v>4899.2292470602679</v>
      </c>
      <c r="F25">
        <f>ROUND(2*E25,0)/2</f>
        <v>4899</v>
      </c>
      <c r="G25">
        <f t="shared" si="1"/>
        <v>7.8233699998236261E-2</v>
      </c>
      <c r="K25">
        <f>+G25</f>
        <v>7.8233699998236261E-2</v>
      </c>
      <c r="O25">
        <f t="shared" ca="1" si="2"/>
        <v>7.8044682388063918E-2</v>
      </c>
      <c r="Q25" s="2">
        <f t="shared" si="3"/>
        <v>40103.464</v>
      </c>
    </row>
    <row r="26" spans="1:21" x14ac:dyDescent="0.2">
      <c r="A26" s="56" t="s">
        <v>97</v>
      </c>
      <c r="B26" s="57" t="s">
        <v>44</v>
      </c>
      <c r="C26" s="56">
        <v>55125.376799999998</v>
      </c>
      <c r="D26" s="56" t="s">
        <v>61</v>
      </c>
      <c r="E26">
        <f t="shared" si="0"/>
        <v>4909.2297246967655</v>
      </c>
      <c r="F26">
        <f>ROUND(2*E26,0)/2</f>
        <v>4909</v>
      </c>
      <c r="G26">
        <f t="shared" si="1"/>
        <v>7.8396700002485886E-2</v>
      </c>
      <c r="K26">
        <f>+G26</f>
        <v>7.8396700002485886E-2</v>
      </c>
      <c r="O26">
        <f t="shared" ca="1" si="2"/>
        <v>7.8200418168686392E-2</v>
      </c>
      <c r="Q26" s="2">
        <f t="shared" si="3"/>
        <v>40106.876799999998</v>
      </c>
    </row>
    <row r="27" spans="1:21" x14ac:dyDescent="0.2">
      <c r="A27" s="39" t="s">
        <v>47</v>
      </c>
      <c r="B27" s="40" t="s">
        <v>32</v>
      </c>
      <c r="C27" s="39">
        <v>55566.6466</v>
      </c>
      <c r="D27" s="39">
        <v>5.0000000000000001E-4</v>
      </c>
      <c r="E27">
        <f t="shared" si="0"/>
        <v>6202.2761284015887</v>
      </c>
      <c r="F27" s="32">
        <f t="shared" ref="F27:F34" si="4">ROUND(2*E27,0)/2-0.5</f>
        <v>6202</v>
      </c>
      <c r="G27">
        <f t="shared" si="1"/>
        <v>9.4232600000395905E-2</v>
      </c>
      <c r="K27">
        <f>+G27</f>
        <v>9.4232600000395905E-2</v>
      </c>
      <c r="O27">
        <f t="shared" ca="1" si="2"/>
        <v>9.8337054603173449E-2</v>
      </c>
      <c r="Q27" s="2">
        <f t="shared" si="3"/>
        <v>40548.1466</v>
      </c>
    </row>
    <row r="28" spans="1:21" x14ac:dyDescent="0.2">
      <c r="A28" s="39" t="s">
        <v>48</v>
      </c>
      <c r="B28" s="40" t="s">
        <v>32</v>
      </c>
      <c r="C28" s="39">
        <v>55670.396200000003</v>
      </c>
      <c r="D28" s="39">
        <v>3.5000000000000001E-3</v>
      </c>
      <c r="E28">
        <f t="shared" si="0"/>
        <v>6506.2920550882036</v>
      </c>
      <c r="F28" s="32">
        <f t="shared" si="4"/>
        <v>6506</v>
      </c>
      <c r="G28">
        <f t="shared" si="1"/>
        <v>9.9667800001043361E-2</v>
      </c>
      <c r="J28">
        <f>+G28</f>
        <v>9.9667800001043361E-2</v>
      </c>
      <c r="O28">
        <f t="shared" ca="1" si="2"/>
        <v>0.10307142233409693</v>
      </c>
      <c r="Q28" s="2">
        <f t="shared" si="3"/>
        <v>40651.896200000003</v>
      </c>
    </row>
    <row r="29" spans="1:21" x14ac:dyDescent="0.2">
      <c r="A29" s="39" t="s">
        <v>49</v>
      </c>
      <c r="B29" s="40" t="s">
        <v>32</v>
      </c>
      <c r="C29" s="39">
        <v>55849.905700000003</v>
      </c>
      <c r="D29" s="39">
        <v>5.0000000000000001E-4</v>
      </c>
      <c r="E29">
        <f t="shared" si="0"/>
        <v>7032.3061022898255</v>
      </c>
      <c r="F29" s="32">
        <f t="shared" si="4"/>
        <v>7032</v>
      </c>
      <c r="G29">
        <f t="shared" si="1"/>
        <v>0.10446160000719829</v>
      </c>
      <c r="K29">
        <f t="shared" ref="K29:K40" si="5">+G29</f>
        <v>0.10446160000719829</v>
      </c>
      <c r="O29">
        <f t="shared" ca="1" si="2"/>
        <v>0.11126312439483953</v>
      </c>
      <c r="Q29" s="2">
        <f t="shared" si="3"/>
        <v>40831.405700000003</v>
      </c>
    </row>
    <row r="30" spans="1:21" x14ac:dyDescent="0.2">
      <c r="A30" s="56" t="s">
        <v>119</v>
      </c>
      <c r="B30" s="57" t="s">
        <v>44</v>
      </c>
      <c r="C30" s="56">
        <v>55942.397900000004</v>
      </c>
      <c r="D30" s="56" t="s">
        <v>61</v>
      </c>
      <c r="E30">
        <f t="shared" si="0"/>
        <v>7303.3346353567777</v>
      </c>
      <c r="F30" s="32">
        <f t="shared" si="4"/>
        <v>7303</v>
      </c>
      <c r="G30">
        <f t="shared" si="1"/>
        <v>0.11419890000252053</v>
      </c>
      <c r="K30">
        <f t="shared" si="5"/>
        <v>0.11419890000252053</v>
      </c>
      <c r="O30">
        <f t="shared" ca="1" si="2"/>
        <v>0.11548356404970882</v>
      </c>
      <c r="Q30" s="2">
        <f t="shared" si="3"/>
        <v>40923.897900000004</v>
      </c>
    </row>
    <row r="31" spans="1:21" x14ac:dyDescent="0.2">
      <c r="A31" s="56" t="s">
        <v>119</v>
      </c>
      <c r="B31" s="57" t="s">
        <v>32</v>
      </c>
      <c r="C31" s="56">
        <v>55969.356599999999</v>
      </c>
      <c r="D31" s="56" t="s">
        <v>61</v>
      </c>
      <c r="E31">
        <f t="shared" si="0"/>
        <v>7382.3313173947317</v>
      </c>
      <c r="F31" s="32">
        <f t="shared" si="4"/>
        <v>7382</v>
      </c>
      <c r="G31">
        <f t="shared" si="1"/>
        <v>0.11306660000263946</v>
      </c>
      <c r="K31">
        <f t="shared" si="5"/>
        <v>0.11306660000263946</v>
      </c>
      <c r="O31">
        <f t="shared" ca="1" si="2"/>
        <v>0.11671387671662643</v>
      </c>
      <c r="Q31" s="2">
        <f t="shared" si="3"/>
        <v>40950.856599999999</v>
      </c>
    </row>
    <row r="32" spans="1:21" x14ac:dyDescent="0.2">
      <c r="A32" s="33" t="s">
        <v>50</v>
      </c>
      <c r="B32" s="37" t="s">
        <v>32</v>
      </c>
      <c r="C32" s="38">
        <v>56297.665300000001</v>
      </c>
      <c r="D32" s="38">
        <v>4.0000000000000002E-4</v>
      </c>
      <c r="E32">
        <f t="shared" si="0"/>
        <v>8344.3694714673784</v>
      </c>
      <c r="F32" s="32">
        <f t="shared" si="4"/>
        <v>8344</v>
      </c>
      <c r="G32">
        <f t="shared" si="1"/>
        <v>0.12608719999843743</v>
      </c>
      <c r="K32">
        <f t="shared" si="5"/>
        <v>0.12608719999843743</v>
      </c>
      <c r="O32">
        <f t="shared" ca="1" si="2"/>
        <v>0.1316956588125093</v>
      </c>
      <c r="Q32" s="2">
        <f t="shared" si="3"/>
        <v>41279.165300000001</v>
      </c>
    </row>
    <row r="33" spans="1:17" x14ac:dyDescent="0.2">
      <c r="A33" s="60" t="s">
        <v>0</v>
      </c>
      <c r="B33" s="61" t="s">
        <v>32</v>
      </c>
      <c r="C33" s="62">
        <v>57474.397299999997</v>
      </c>
      <c r="D33" s="62" t="s">
        <v>1</v>
      </c>
      <c r="E33">
        <f t="shared" si="0"/>
        <v>11792.529940922514</v>
      </c>
      <c r="F33" s="32">
        <f t="shared" si="4"/>
        <v>11792</v>
      </c>
      <c r="G33">
        <f t="shared" si="1"/>
        <v>0.18084960000123829</v>
      </c>
      <c r="K33">
        <f t="shared" si="5"/>
        <v>0.18084960000123829</v>
      </c>
      <c r="O33">
        <f t="shared" ca="1" si="2"/>
        <v>0.1853933559711414</v>
      </c>
      <c r="Q33" s="2">
        <f t="shared" si="3"/>
        <v>42455.897299999997</v>
      </c>
    </row>
    <row r="34" spans="1:17" x14ac:dyDescent="0.2">
      <c r="A34" s="63" t="s">
        <v>132</v>
      </c>
      <c r="B34" s="64" t="s">
        <v>32</v>
      </c>
      <c r="C34" s="65">
        <v>57844.344359999988</v>
      </c>
      <c r="D34" s="65">
        <v>2.0000000000000001E-4</v>
      </c>
      <c r="E34">
        <f t="shared" si="0"/>
        <v>12876.580368788094</v>
      </c>
      <c r="F34" s="32">
        <f t="shared" si="4"/>
        <v>12876</v>
      </c>
      <c r="G34">
        <f t="shared" si="1"/>
        <v>0.19805879998602904</v>
      </c>
      <c r="K34">
        <f t="shared" si="5"/>
        <v>0.19805879998602904</v>
      </c>
      <c r="O34">
        <f t="shared" ca="1" si="2"/>
        <v>0.20227511459061856</v>
      </c>
      <c r="Q34" s="2">
        <f t="shared" si="3"/>
        <v>42825.844359999988</v>
      </c>
    </row>
    <row r="35" spans="1:17" x14ac:dyDescent="0.2">
      <c r="A35" s="63" t="s">
        <v>131</v>
      </c>
      <c r="B35" s="64" t="s">
        <v>32</v>
      </c>
      <c r="C35" s="65">
        <v>59061.34992699977</v>
      </c>
      <c r="D35" s="65">
        <v>1.5723999999999998E-2</v>
      </c>
      <c r="E35">
        <f t="shared" si="0"/>
        <v>16442.753879184253</v>
      </c>
      <c r="F35" s="67">
        <f t="shared" ref="F35:F40" si="6">ROUND(2*E35,0)/2-1</f>
        <v>16442</v>
      </c>
      <c r="G35">
        <f t="shared" si="1"/>
        <v>0.25727159977395786</v>
      </c>
      <c r="K35">
        <f t="shared" si="5"/>
        <v>0.25727159977395786</v>
      </c>
      <c r="O35">
        <f t="shared" ca="1" si="2"/>
        <v>0.25781049396059597</v>
      </c>
      <c r="Q35" s="2">
        <f t="shared" si="3"/>
        <v>44042.84992699977</v>
      </c>
    </row>
    <row r="36" spans="1:17" x14ac:dyDescent="0.2">
      <c r="A36" s="63" t="s">
        <v>131</v>
      </c>
      <c r="B36" s="64" t="s">
        <v>32</v>
      </c>
      <c r="C36" s="65">
        <v>59061.351974999998</v>
      </c>
      <c r="D36" s="65">
        <v>1.7968999999999999E-2</v>
      </c>
      <c r="E36">
        <f t="shared" si="0"/>
        <v>16442.759880409194</v>
      </c>
      <c r="F36" s="67">
        <f t="shared" si="6"/>
        <v>16442</v>
      </c>
      <c r="G36">
        <f t="shared" si="1"/>
        <v>0.2593196000016178</v>
      </c>
      <c r="K36">
        <f t="shared" si="5"/>
        <v>0.2593196000016178</v>
      </c>
      <c r="O36">
        <f t="shared" ca="1" si="2"/>
        <v>0.25781049396059597</v>
      </c>
      <c r="Q36" s="2">
        <f t="shared" si="3"/>
        <v>44042.851974999998</v>
      </c>
    </row>
    <row r="37" spans="1:17" x14ac:dyDescent="0.2">
      <c r="A37" s="63" t="s">
        <v>131</v>
      </c>
      <c r="B37" s="64" t="s">
        <v>32</v>
      </c>
      <c r="C37" s="65">
        <v>59061.354958999902</v>
      </c>
      <c r="D37" s="65">
        <v>6.4999999999999997E-4</v>
      </c>
      <c r="E37">
        <f t="shared" si="0"/>
        <v>16442.768624380216</v>
      </c>
      <c r="F37" s="67">
        <f t="shared" si="6"/>
        <v>16442</v>
      </c>
      <c r="G37">
        <f t="shared" si="1"/>
        <v>0.26230359990586294</v>
      </c>
      <c r="K37">
        <f t="shared" si="5"/>
        <v>0.26230359990586294</v>
      </c>
      <c r="O37">
        <f t="shared" ca="1" si="2"/>
        <v>0.25781049396059597</v>
      </c>
      <c r="Q37" s="2">
        <f t="shared" si="3"/>
        <v>44042.854958999902</v>
      </c>
    </row>
    <row r="38" spans="1:17" x14ac:dyDescent="0.2">
      <c r="A38" s="63" t="s">
        <v>131</v>
      </c>
      <c r="B38" s="64" t="s">
        <v>44</v>
      </c>
      <c r="C38" s="65">
        <v>59062.380073000211</v>
      </c>
      <c r="D38" s="65">
        <v>1.0790000000000001E-3</v>
      </c>
      <c r="E38">
        <f t="shared" si="0"/>
        <v>16445.772500855532</v>
      </c>
      <c r="F38" s="67">
        <f t="shared" si="6"/>
        <v>16445</v>
      </c>
      <c r="G38">
        <f t="shared" si="1"/>
        <v>0.2636265002147411</v>
      </c>
      <c r="K38">
        <f t="shared" si="5"/>
        <v>0.2636265002147411</v>
      </c>
      <c r="O38">
        <f t="shared" ca="1" si="2"/>
        <v>0.25785721469478273</v>
      </c>
      <c r="Q38" s="2">
        <f t="shared" si="3"/>
        <v>44043.880073000211</v>
      </c>
    </row>
    <row r="39" spans="1:17" x14ac:dyDescent="0.2">
      <c r="A39" s="63" t="s">
        <v>131</v>
      </c>
      <c r="B39" s="64" t="s">
        <v>44</v>
      </c>
      <c r="C39" s="65">
        <v>59062.382098000031</v>
      </c>
      <c r="D39" s="65">
        <v>6.6420000000000003E-3</v>
      </c>
      <c r="E39">
        <f t="shared" si="0"/>
        <v>16445.778434682717</v>
      </c>
      <c r="F39" s="67">
        <f t="shared" si="6"/>
        <v>16445</v>
      </c>
      <c r="G39">
        <f t="shared" si="1"/>
        <v>0.26565150003443705</v>
      </c>
      <c r="K39">
        <f t="shared" si="5"/>
        <v>0.26565150003443705</v>
      </c>
      <c r="O39">
        <f t="shared" ca="1" si="2"/>
        <v>0.25785721469478273</v>
      </c>
      <c r="Q39" s="2">
        <f t="shared" si="3"/>
        <v>44043.882098000031</v>
      </c>
    </row>
    <row r="40" spans="1:17" x14ac:dyDescent="0.2">
      <c r="A40" s="63" t="s">
        <v>131</v>
      </c>
      <c r="B40" s="64" t="s">
        <v>44</v>
      </c>
      <c r="C40" s="65">
        <v>59062.38238100009</v>
      </c>
      <c r="D40" s="65">
        <v>5.2760000000000003E-3</v>
      </c>
      <c r="E40">
        <f t="shared" si="0"/>
        <v>16445.779263953627</v>
      </c>
      <c r="F40" s="67">
        <f t="shared" si="6"/>
        <v>16445</v>
      </c>
      <c r="G40">
        <f t="shared" si="1"/>
        <v>0.26593450009386288</v>
      </c>
      <c r="K40">
        <f t="shared" si="5"/>
        <v>0.26593450009386288</v>
      </c>
      <c r="O40">
        <f t="shared" ca="1" si="2"/>
        <v>0.25785721469478273</v>
      </c>
      <c r="Q40" s="2">
        <f t="shared" si="3"/>
        <v>44043.88238100009</v>
      </c>
    </row>
    <row r="41" spans="1:17" x14ac:dyDescent="0.2">
      <c r="D41" s="3"/>
    </row>
    <row r="42" spans="1:17" x14ac:dyDescent="0.2">
      <c r="D42" s="3"/>
    </row>
    <row r="43" spans="1:17" x14ac:dyDescent="0.2">
      <c r="D43" s="3"/>
    </row>
    <row r="44" spans="1:17" x14ac:dyDescent="0.2">
      <c r="D44" s="3"/>
    </row>
    <row r="45" spans="1:17" x14ac:dyDescent="0.2">
      <c r="D45" s="3"/>
    </row>
    <row r="46" spans="1:17" x14ac:dyDescent="0.2">
      <c r="D46" s="3"/>
    </row>
    <row r="47" spans="1:17" x14ac:dyDescent="0.2">
      <c r="D47" s="3"/>
    </row>
    <row r="48" spans="1:17" x14ac:dyDescent="0.2">
      <c r="D48" s="3"/>
    </row>
  </sheetData>
  <sheetProtection sheet="1"/>
  <protectedRanges>
    <protectedRange sqref="A34:D40" name="Range1"/>
  </protectedRanges>
  <phoneticPr fontId="8" type="noConversion"/>
  <hyperlinks>
    <hyperlink ref="H2604" r:id="rId1" display="http://vsolj.cetus-net.org/bulletin.html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1"/>
  <sheetViews>
    <sheetView workbookViewId="0">
      <selection activeCell="A20" sqref="A20:D22"/>
    </sheetView>
  </sheetViews>
  <sheetFormatPr defaultRowHeight="12.75" x14ac:dyDescent="0.2"/>
  <cols>
    <col min="1" max="1" width="19.7109375" style="11" customWidth="1"/>
    <col min="2" max="2" width="4.42578125" style="13" customWidth="1"/>
    <col min="3" max="3" width="12.7109375" style="11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1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43" t="s">
        <v>51</v>
      </c>
      <c r="I1" s="44" t="s">
        <v>52</v>
      </c>
      <c r="J1" s="45" t="s">
        <v>53</v>
      </c>
    </row>
    <row r="2" spans="1:16" x14ac:dyDescent="0.2">
      <c r="I2" s="46" t="s">
        <v>54</v>
      </c>
      <c r="J2" s="47" t="s">
        <v>55</v>
      </c>
    </row>
    <row r="3" spans="1:16" x14ac:dyDescent="0.2">
      <c r="A3" s="48" t="s">
        <v>56</v>
      </c>
      <c r="I3" s="46" t="s">
        <v>57</v>
      </c>
      <c r="J3" s="47" t="s">
        <v>58</v>
      </c>
    </row>
    <row r="4" spans="1:16" x14ac:dyDescent="0.2">
      <c r="I4" s="46" t="s">
        <v>59</v>
      </c>
      <c r="J4" s="47" t="s">
        <v>58</v>
      </c>
    </row>
    <row r="5" spans="1:16" ht="13.5" thickBot="1" x14ac:dyDescent="0.25">
      <c r="I5" s="49" t="s">
        <v>60</v>
      </c>
      <c r="J5" s="50" t="s">
        <v>61</v>
      </c>
    </row>
    <row r="10" spans="1:16" ht="13.5" thickBot="1" x14ac:dyDescent="0.25"/>
    <row r="11" spans="1:16" ht="12.75" customHeight="1" thickBot="1" x14ac:dyDescent="0.25">
      <c r="A11" s="11" t="str">
        <f>P11</f>
        <v> AJ 109.1239 </v>
      </c>
      <c r="B11" s="3" t="str">
        <f>IF(H11=INT(H11),"I","II")</f>
        <v>II</v>
      </c>
      <c r="C11" s="11">
        <f>1*G11</f>
        <v>48680.67</v>
      </c>
      <c r="D11" s="13" t="str">
        <f>VLOOKUP(F11,I$1:J$5,2,FALSE)</f>
        <v>vis</v>
      </c>
      <c r="E11" s="51">
        <f>VLOOKUP(C11,A!C$21:E$973,3,FALSE)</f>
        <v>-13975.599807421651</v>
      </c>
      <c r="F11" s="3" t="s">
        <v>60</v>
      </c>
      <c r="G11" s="13" t="str">
        <f>MID(I11,3,LEN(I11)-3)</f>
        <v>48680.67</v>
      </c>
      <c r="H11" s="11">
        <f>1*K11</f>
        <v>-6987.5</v>
      </c>
      <c r="I11" s="52" t="s">
        <v>62</v>
      </c>
      <c r="J11" s="53" t="s">
        <v>63</v>
      </c>
      <c r="K11" s="52">
        <v>-6987.5</v>
      </c>
      <c r="L11" s="52" t="s">
        <v>64</v>
      </c>
      <c r="M11" s="53" t="s">
        <v>65</v>
      </c>
      <c r="N11" s="53" t="s">
        <v>66</v>
      </c>
      <c r="O11" s="54" t="s">
        <v>67</v>
      </c>
      <c r="P11" s="54" t="s">
        <v>68</v>
      </c>
    </row>
    <row r="12" spans="1:16" ht="12.75" customHeight="1" thickBot="1" x14ac:dyDescent="0.25">
      <c r="A12" s="11" t="str">
        <f t="shared" ref="A12:A22" si="0">P12</f>
        <v>BAVM 173 </v>
      </c>
      <c r="B12" s="3" t="str">
        <f t="shared" ref="B12:B22" si="1">IF(H12=INT(H12),"I","II")</f>
        <v>I</v>
      </c>
      <c r="C12" s="11">
        <f t="shared" ref="C12:C22" si="2">1*G12</f>
        <v>52685.5697</v>
      </c>
      <c r="D12" s="13" t="str">
        <f t="shared" ref="D12:D22" si="3">VLOOKUP(F12,I$1:J$5,2,FALSE)</f>
        <v>vis</v>
      </c>
      <c r="E12" s="51">
        <f>VLOOKUP(C12,A!C$21:E$973,3,FALSE)</f>
        <v>-2240.1011300059126</v>
      </c>
      <c r="F12" s="3" t="s">
        <v>60</v>
      </c>
      <c r="G12" s="13" t="str">
        <f t="shared" ref="G12:G22" si="4">MID(I12,3,LEN(I12)-3)</f>
        <v>52685.5697</v>
      </c>
      <c r="H12" s="11">
        <f t="shared" ref="H12:H22" si="5">1*K12</f>
        <v>-1120</v>
      </c>
      <c r="I12" s="52" t="s">
        <v>69</v>
      </c>
      <c r="J12" s="53" t="s">
        <v>70</v>
      </c>
      <c r="K12" s="52">
        <v>-1120</v>
      </c>
      <c r="L12" s="52" t="s">
        <v>71</v>
      </c>
      <c r="M12" s="53" t="s">
        <v>65</v>
      </c>
      <c r="N12" s="53" t="s">
        <v>72</v>
      </c>
      <c r="O12" s="54" t="s">
        <v>73</v>
      </c>
      <c r="P12" s="55" t="s">
        <v>74</v>
      </c>
    </row>
    <row r="13" spans="1:16" ht="12.75" customHeight="1" thickBot="1" x14ac:dyDescent="0.25">
      <c r="A13" s="11" t="str">
        <f t="shared" si="0"/>
        <v>IBVS 5694 </v>
      </c>
      <c r="B13" s="3" t="str">
        <f t="shared" si="1"/>
        <v>I</v>
      </c>
      <c r="C13" s="11">
        <f t="shared" si="2"/>
        <v>53450.034899999999</v>
      </c>
      <c r="D13" s="13" t="str">
        <f t="shared" si="3"/>
        <v>vis</v>
      </c>
      <c r="E13" s="51">
        <f>VLOOKUP(C13,A!C$21:E$973,3,FALSE)</f>
        <v>0</v>
      </c>
      <c r="F13" s="3" t="s">
        <v>60</v>
      </c>
      <c r="G13" s="13" t="str">
        <f t="shared" si="4"/>
        <v>53450.0349</v>
      </c>
      <c r="H13" s="11">
        <f t="shared" si="5"/>
        <v>0</v>
      </c>
      <c r="I13" s="52" t="s">
        <v>75</v>
      </c>
      <c r="J13" s="53" t="s">
        <v>76</v>
      </c>
      <c r="K13" s="52" t="s">
        <v>77</v>
      </c>
      <c r="L13" s="52" t="s">
        <v>78</v>
      </c>
      <c r="M13" s="53" t="s">
        <v>65</v>
      </c>
      <c r="N13" s="53" t="s">
        <v>66</v>
      </c>
      <c r="O13" s="54" t="s">
        <v>79</v>
      </c>
      <c r="P13" s="55" t="s">
        <v>80</v>
      </c>
    </row>
    <row r="14" spans="1:16" ht="12.75" customHeight="1" thickBot="1" x14ac:dyDescent="0.25">
      <c r="A14" s="11" t="str">
        <f t="shared" si="0"/>
        <v>IBVS 5871 </v>
      </c>
      <c r="B14" s="3" t="str">
        <f t="shared" si="1"/>
        <v>I</v>
      </c>
      <c r="C14" s="11">
        <f t="shared" si="2"/>
        <v>54811.739000000001</v>
      </c>
      <c r="D14" s="13" t="str">
        <f t="shared" si="3"/>
        <v>vis</v>
      </c>
      <c r="E14" s="51">
        <f>VLOOKUP(C14,A!C$21:E$973,3,FALSE)</f>
        <v>3990.1814930799924</v>
      </c>
      <c r="F14" s="3" t="s">
        <v>60</v>
      </c>
      <c r="G14" s="13" t="str">
        <f t="shared" si="4"/>
        <v>54811.7390</v>
      </c>
      <c r="H14" s="11">
        <f t="shared" si="5"/>
        <v>1995</v>
      </c>
      <c r="I14" s="52" t="s">
        <v>81</v>
      </c>
      <c r="J14" s="53" t="s">
        <v>82</v>
      </c>
      <c r="K14" s="52" t="s">
        <v>83</v>
      </c>
      <c r="L14" s="52" t="s">
        <v>84</v>
      </c>
      <c r="M14" s="53" t="s">
        <v>85</v>
      </c>
      <c r="N14" s="53" t="s">
        <v>60</v>
      </c>
      <c r="O14" s="54" t="s">
        <v>86</v>
      </c>
      <c r="P14" s="55" t="s">
        <v>87</v>
      </c>
    </row>
    <row r="15" spans="1:16" ht="12.75" customHeight="1" thickBot="1" x14ac:dyDescent="0.25">
      <c r="A15" s="11" t="str">
        <f t="shared" si="0"/>
        <v>IBVS 5920 </v>
      </c>
      <c r="B15" s="3" t="str">
        <f t="shared" si="1"/>
        <v>II</v>
      </c>
      <c r="C15" s="11">
        <f t="shared" si="2"/>
        <v>55121.964</v>
      </c>
      <c r="D15" s="13" t="str">
        <f t="shared" si="3"/>
        <v>vis</v>
      </c>
      <c r="E15" s="51">
        <f>VLOOKUP(C15,A!C$21:E$973,3,FALSE)</f>
        <v>4899.2292470602679</v>
      </c>
      <c r="F15" s="3" t="s">
        <v>60</v>
      </c>
      <c r="G15" s="13" t="str">
        <f t="shared" si="4"/>
        <v>55121.964</v>
      </c>
      <c r="H15" s="11">
        <f t="shared" si="5"/>
        <v>2449.5</v>
      </c>
      <c r="I15" s="52" t="s">
        <v>88</v>
      </c>
      <c r="J15" s="53" t="s">
        <v>89</v>
      </c>
      <c r="K15" s="52" t="s">
        <v>90</v>
      </c>
      <c r="L15" s="52" t="s">
        <v>91</v>
      </c>
      <c r="M15" s="53" t="s">
        <v>85</v>
      </c>
      <c r="N15" s="53" t="s">
        <v>60</v>
      </c>
      <c r="O15" s="54" t="s">
        <v>86</v>
      </c>
      <c r="P15" s="55" t="s">
        <v>92</v>
      </c>
    </row>
    <row r="16" spans="1:16" ht="12.75" customHeight="1" thickBot="1" x14ac:dyDescent="0.25">
      <c r="A16" s="11" t="str">
        <f t="shared" si="0"/>
        <v>IBVS 5992 </v>
      </c>
      <c r="B16" s="3" t="str">
        <f t="shared" si="1"/>
        <v>I</v>
      </c>
      <c r="C16" s="11">
        <f t="shared" si="2"/>
        <v>55566.6466</v>
      </c>
      <c r="D16" s="13" t="str">
        <f t="shared" si="3"/>
        <v>vis</v>
      </c>
      <c r="E16" s="51">
        <f>VLOOKUP(C16,A!C$21:E$973,3,FALSE)</f>
        <v>6202.2761284015887</v>
      </c>
      <c r="F16" s="3" t="s">
        <v>60</v>
      </c>
      <c r="G16" s="13" t="str">
        <f t="shared" si="4"/>
        <v>55566.6466</v>
      </c>
      <c r="H16" s="11">
        <f t="shared" si="5"/>
        <v>3101</v>
      </c>
      <c r="I16" s="52" t="s">
        <v>98</v>
      </c>
      <c r="J16" s="53" t="s">
        <v>99</v>
      </c>
      <c r="K16" s="52" t="s">
        <v>100</v>
      </c>
      <c r="L16" s="52" t="s">
        <v>101</v>
      </c>
      <c r="M16" s="53" t="s">
        <v>85</v>
      </c>
      <c r="N16" s="53" t="s">
        <v>60</v>
      </c>
      <c r="O16" s="54" t="s">
        <v>86</v>
      </c>
      <c r="P16" s="55" t="s">
        <v>102</v>
      </c>
    </row>
    <row r="17" spans="1:16" ht="12.75" customHeight="1" thickBot="1" x14ac:dyDescent="0.25">
      <c r="A17" s="11" t="str">
        <f t="shared" si="0"/>
        <v>BAVM 220 </v>
      </c>
      <c r="B17" s="3" t="str">
        <f t="shared" si="1"/>
        <v>I</v>
      </c>
      <c r="C17" s="11">
        <f t="shared" si="2"/>
        <v>55670.396200000003</v>
      </c>
      <c r="D17" s="13" t="str">
        <f t="shared" si="3"/>
        <v>vis</v>
      </c>
      <c r="E17" s="51">
        <f>VLOOKUP(C17,A!C$21:E$973,3,FALSE)</f>
        <v>6506.2920550882036</v>
      </c>
      <c r="F17" s="3" t="s">
        <v>60</v>
      </c>
      <c r="G17" s="13" t="str">
        <f t="shared" si="4"/>
        <v>55670.3962</v>
      </c>
      <c r="H17" s="11">
        <f t="shared" si="5"/>
        <v>3253</v>
      </c>
      <c r="I17" s="52" t="s">
        <v>103</v>
      </c>
      <c r="J17" s="53" t="s">
        <v>104</v>
      </c>
      <c r="K17" s="52" t="s">
        <v>105</v>
      </c>
      <c r="L17" s="52" t="s">
        <v>106</v>
      </c>
      <c r="M17" s="53" t="s">
        <v>85</v>
      </c>
      <c r="N17" s="53" t="s">
        <v>72</v>
      </c>
      <c r="O17" s="54" t="s">
        <v>73</v>
      </c>
      <c r="P17" s="55" t="s">
        <v>107</v>
      </c>
    </row>
    <row r="18" spans="1:16" ht="12.75" customHeight="1" thickBot="1" x14ac:dyDescent="0.25">
      <c r="A18" s="11" t="str">
        <f t="shared" si="0"/>
        <v>IBVS 6011 </v>
      </c>
      <c r="B18" s="3" t="str">
        <f t="shared" si="1"/>
        <v>I</v>
      </c>
      <c r="C18" s="11">
        <f t="shared" si="2"/>
        <v>55849.905700000003</v>
      </c>
      <c r="D18" s="13" t="str">
        <f t="shared" si="3"/>
        <v>vis</v>
      </c>
      <c r="E18" s="51">
        <f>VLOOKUP(C18,A!C$21:E$973,3,FALSE)</f>
        <v>7032.3061022898255</v>
      </c>
      <c r="F18" s="3" t="s">
        <v>60</v>
      </c>
      <c r="G18" s="13" t="str">
        <f t="shared" si="4"/>
        <v>55849.9057</v>
      </c>
      <c r="H18" s="11">
        <f t="shared" si="5"/>
        <v>3516</v>
      </c>
      <c r="I18" s="52" t="s">
        <v>108</v>
      </c>
      <c r="J18" s="53" t="s">
        <v>109</v>
      </c>
      <c r="K18" s="52" t="s">
        <v>110</v>
      </c>
      <c r="L18" s="52" t="s">
        <v>111</v>
      </c>
      <c r="M18" s="53" t="s">
        <v>85</v>
      </c>
      <c r="N18" s="53" t="s">
        <v>60</v>
      </c>
      <c r="O18" s="54" t="s">
        <v>86</v>
      </c>
      <c r="P18" s="55" t="s">
        <v>112</v>
      </c>
    </row>
    <row r="19" spans="1:16" ht="12.75" customHeight="1" thickBot="1" x14ac:dyDescent="0.25">
      <c r="A19" s="11" t="str">
        <f t="shared" si="0"/>
        <v>IBVS 6063 </v>
      </c>
      <c r="B19" s="3" t="str">
        <f t="shared" si="1"/>
        <v>I</v>
      </c>
      <c r="C19" s="11">
        <f t="shared" si="2"/>
        <v>56297.665300000001</v>
      </c>
      <c r="D19" s="13" t="str">
        <f t="shared" si="3"/>
        <v>vis</v>
      </c>
      <c r="E19" s="51">
        <f>VLOOKUP(C19,A!C$21:E$973,3,FALSE)</f>
        <v>8344.3694714673784</v>
      </c>
      <c r="F19" s="3" t="s">
        <v>60</v>
      </c>
      <c r="G19" s="13" t="str">
        <f t="shared" si="4"/>
        <v>56297.6653</v>
      </c>
      <c r="H19" s="11">
        <f t="shared" si="5"/>
        <v>4172</v>
      </c>
      <c r="I19" s="52" t="s">
        <v>124</v>
      </c>
      <c r="J19" s="53" t="s">
        <v>125</v>
      </c>
      <c r="K19" s="52" t="s">
        <v>126</v>
      </c>
      <c r="L19" s="52" t="s">
        <v>127</v>
      </c>
      <c r="M19" s="53" t="s">
        <v>85</v>
      </c>
      <c r="N19" s="53" t="s">
        <v>60</v>
      </c>
      <c r="O19" s="54" t="s">
        <v>86</v>
      </c>
      <c r="P19" s="55" t="s">
        <v>128</v>
      </c>
    </row>
    <row r="20" spans="1:16" ht="12.75" customHeight="1" thickBot="1" x14ac:dyDescent="0.25">
      <c r="A20" s="11" t="str">
        <f t="shared" si="0"/>
        <v>BAVM 212 </v>
      </c>
      <c r="B20" s="3" t="str">
        <f t="shared" si="1"/>
        <v>II</v>
      </c>
      <c r="C20" s="11">
        <f t="shared" si="2"/>
        <v>55125.376799999998</v>
      </c>
      <c r="D20" s="13" t="str">
        <f t="shared" si="3"/>
        <v>vis</v>
      </c>
      <c r="E20" s="51">
        <f>VLOOKUP(C20,A!C$21:E$973,3,FALSE)</f>
        <v>4909.2297246967655</v>
      </c>
      <c r="F20" s="3" t="s">
        <v>60</v>
      </c>
      <c r="G20" s="13" t="str">
        <f t="shared" si="4"/>
        <v>55125.3768</v>
      </c>
      <c r="H20" s="11">
        <f t="shared" si="5"/>
        <v>2454.5</v>
      </c>
      <c r="I20" s="52" t="s">
        <v>93</v>
      </c>
      <c r="J20" s="53" t="s">
        <v>94</v>
      </c>
      <c r="K20" s="52" t="s">
        <v>95</v>
      </c>
      <c r="L20" s="52" t="s">
        <v>96</v>
      </c>
      <c r="M20" s="53" t="s">
        <v>85</v>
      </c>
      <c r="N20" s="53" t="s">
        <v>72</v>
      </c>
      <c r="O20" s="54" t="s">
        <v>73</v>
      </c>
      <c r="P20" s="55" t="s">
        <v>97</v>
      </c>
    </row>
    <row r="21" spans="1:16" ht="12.75" customHeight="1" thickBot="1" x14ac:dyDescent="0.25">
      <c r="A21" s="11" t="str">
        <f t="shared" si="0"/>
        <v>BAVM 225 </v>
      </c>
      <c r="B21" s="3" t="str">
        <f t="shared" si="1"/>
        <v>II</v>
      </c>
      <c r="C21" s="11">
        <f t="shared" si="2"/>
        <v>55942.397900000004</v>
      </c>
      <c r="D21" s="13" t="str">
        <f t="shared" si="3"/>
        <v>vis</v>
      </c>
      <c r="E21" s="51">
        <f>VLOOKUP(C21,A!C$21:E$973,3,FALSE)</f>
        <v>7303.3346353567777</v>
      </c>
      <c r="F21" s="3" t="s">
        <v>60</v>
      </c>
      <c r="G21" s="13" t="str">
        <f t="shared" si="4"/>
        <v>55942.3979</v>
      </c>
      <c r="H21" s="11">
        <f t="shared" si="5"/>
        <v>3651.5</v>
      </c>
      <c r="I21" s="52" t="s">
        <v>113</v>
      </c>
      <c r="J21" s="53" t="s">
        <v>114</v>
      </c>
      <c r="K21" s="52" t="s">
        <v>115</v>
      </c>
      <c r="L21" s="52" t="s">
        <v>116</v>
      </c>
      <c r="M21" s="53" t="s">
        <v>85</v>
      </c>
      <c r="N21" s="53" t="s">
        <v>117</v>
      </c>
      <c r="O21" s="54" t="s">
        <v>118</v>
      </c>
      <c r="P21" s="55" t="s">
        <v>119</v>
      </c>
    </row>
    <row r="22" spans="1:16" ht="12.75" customHeight="1" thickBot="1" x14ac:dyDescent="0.25">
      <c r="A22" s="11" t="str">
        <f t="shared" si="0"/>
        <v>BAVM 225 </v>
      </c>
      <c r="B22" s="3" t="str">
        <f t="shared" si="1"/>
        <v>I</v>
      </c>
      <c r="C22" s="11">
        <f t="shared" si="2"/>
        <v>55969.356599999999</v>
      </c>
      <c r="D22" s="13" t="str">
        <f t="shared" si="3"/>
        <v>vis</v>
      </c>
      <c r="E22" s="51">
        <f>VLOOKUP(C22,A!C$21:E$973,3,FALSE)</f>
        <v>7382.3313173947317</v>
      </c>
      <c r="F22" s="3" t="s">
        <v>60</v>
      </c>
      <c r="G22" s="13" t="str">
        <f t="shared" si="4"/>
        <v>55969.3566</v>
      </c>
      <c r="H22" s="11">
        <f t="shared" si="5"/>
        <v>3691</v>
      </c>
      <c r="I22" s="52" t="s">
        <v>120</v>
      </c>
      <c r="J22" s="53" t="s">
        <v>121</v>
      </c>
      <c r="K22" s="52" t="s">
        <v>122</v>
      </c>
      <c r="L22" s="52" t="s">
        <v>123</v>
      </c>
      <c r="M22" s="53" t="s">
        <v>85</v>
      </c>
      <c r="N22" s="53" t="s">
        <v>117</v>
      </c>
      <c r="O22" s="54" t="s">
        <v>118</v>
      </c>
      <c r="P22" s="55" t="s">
        <v>119</v>
      </c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</sheetData>
  <phoneticPr fontId="8" type="noConversion"/>
  <hyperlinks>
    <hyperlink ref="A3" r:id="rId1" xr:uid="{00000000-0004-0000-0200-000000000000}"/>
    <hyperlink ref="P12" r:id="rId2" display="http://www.bav-astro.de/sfs/BAVM_link.php?BAVMnr=173" xr:uid="{00000000-0004-0000-0200-000001000000}"/>
    <hyperlink ref="P13" r:id="rId3" display="http://www.konkoly.hu/cgi-bin/IBVS?5694" xr:uid="{00000000-0004-0000-0200-000002000000}"/>
    <hyperlink ref="P14" r:id="rId4" display="http://www.konkoly.hu/cgi-bin/IBVS?5871" xr:uid="{00000000-0004-0000-0200-000003000000}"/>
    <hyperlink ref="P15" r:id="rId5" display="http://www.konkoly.hu/cgi-bin/IBVS?5920" xr:uid="{00000000-0004-0000-0200-000004000000}"/>
    <hyperlink ref="P20" r:id="rId6" display="http://www.bav-astro.de/sfs/BAVM_link.php?BAVMnr=212" xr:uid="{00000000-0004-0000-0200-000005000000}"/>
    <hyperlink ref="P16" r:id="rId7" display="http://www.konkoly.hu/cgi-bin/IBVS?5992" xr:uid="{00000000-0004-0000-0200-000006000000}"/>
    <hyperlink ref="P17" r:id="rId8" display="http://www.bav-astro.de/sfs/BAVM_link.php?BAVMnr=220" xr:uid="{00000000-0004-0000-0200-000007000000}"/>
    <hyperlink ref="P18" r:id="rId9" display="http://www.konkoly.hu/cgi-bin/IBVS?6011" xr:uid="{00000000-0004-0000-0200-000008000000}"/>
    <hyperlink ref="P21" r:id="rId10" display="http://www.bav-astro.de/sfs/BAVM_link.php?BAVMnr=225" xr:uid="{00000000-0004-0000-0200-000009000000}"/>
    <hyperlink ref="P22" r:id="rId11" display="http://www.bav-astro.de/sfs/BAVM_link.php?BAVMnr=225" xr:uid="{00000000-0004-0000-0200-00000A000000}"/>
    <hyperlink ref="P19" r:id="rId12" display="http://www.konkoly.hu/cgi-bin/IBVS?6063" xr:uid="{00000000-0004-0000-02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2024-01-15T06:13:31Z</dcterms:modified>
</cp:coreProperties>
</file>