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C165AE-459D-4141-BA95-A197B67C7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H47" i="1" s="1"/>
  <c r="Q47" i="1"/>
  <c r="F14" i="1"/>
  <c r="F15" i="1" s="1"/>
  <c r="E21" i="1"/>
  <c r="F21" i="1" s="1"/>
  <c r="G21" i="1" s="1"/>
  <c r="I21" i="1" s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 s="1"/>
  <c r="G35" i="1" s="1"/>
  <c r="I35" i="1" s="1"/>
  <c r="E36" i="1"/>
  <c r="F36" i="1" s="1"/>
  <c r="G36" i="1" s="1"/>
  <c r="I36" i="1" s="1"/>
  <c r="E37" i="1"/>
  <c r="F37" i="1" s="1"/>
  <c r="G37" i="1" s="1"/>
  <c r="I37" i="1" s="1"/>
  <c r="E38" i="1"/>
  <c r="F38" i="1" s="1"/>
  <c r="G38" i="1" s="1"/>
  <c r="I38" i="1" s="1"/>
  <c r="E39" i="1"/>
  <c r="E29" i="2" s="1"/>
  <c r="E40" i="1"/>
  <c r="F40" i="1" s="1"/>
  <c r="G40" i="1" s="1"/>
  <c r="I40" i="1" s="1"/>
  <c r="E41" i="1"/>
  <c r="E31" i="2" s="1"/>
  <c r="E42" i="1"/>
  <c r="F42" i="1" s="1"/>
  <c r="G42" i="1" s="1"/>
  <c r="I42" i="1" s="1"/>
  <c r="E43" i="1"/>
  <c r="F43" i="1"/>
  <c r="G43" i="1" s="1"/>
  <c r="I43" i="1" s="1"/>
  <c r="E44" i="1"/>
  <c r="F44" i="1" s="1"/>
  <c r="G44" i="1" s="1"/>
  <c r="I44" i="1" s="1"/>
  <c r="E45" i="1"/>
  <c r="E35" i="2" s="1"/>
  <c r="E46" i="1"/>
  <c r="F46" i="1" s="1"/>
  <c r="G46" i="1" s="1"/>
  <c r="I46" i="1" s="1"/>
  <c r="E48" i="1"/>
  <c r="F48" i="1" s="1"/>
  <c r="G48" i="1" s="1"/>
  <c r="J48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36" i="2"/>
  <c r="C36" i="2"/>
  <c r="G35" i="2"/>
  <c r="C35" i="2"/>
  <c r="G34" i="2"/>
  <c r="C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G28" i="2"/>
  <c r="C28" i="2"/>
  <c r="G27" i="2"/>
  <c r="C27" i="2"/>
  <c r="E27" i="2"/>
  <c r="G26" i="2"/>
  <c r="C26" i="2"/>
  <c r="E26" i="2"/>
  <c r="G25" i="2"/>
  <c r="C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G19" i="2"/>
  <c r="C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G13" i="2"/>
  <c r="C13" i="2"/>
  <c r="E13" i="2"/>
  <c r="G12" i="2"/>
  <c r="C12" i="2"/>
  <c r="E12" i="2"/>
  <c r="G11" i="2"/>
  <c r="C11" i="2"/>
  <c r="E11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A1" i="1"/>
  <c r="D9" i="1"/>
  <c r="E9" i="1"/>
  <c r="C17" i="1"/>
  <c r="Q48" i="1"/>
  <c r="E25" i="2" l="1"/>
  <c r="E34" i="2"/>
  <c r="E14" i="2"/>
  <c r="F39" i="1"/>
  <c r="G39" i="1" s="1"/>
  <c r="I39" i="1" s="1"/>
  <c r="E28" i="2"/>
  <c r="E21" i="2"/>
  <c r="E19" i="2"/>
  <c r="F45" i="1"/>
  <c r="G45" i="1" s="1"/>
  <c r="I45" i="1" s="1"/>
  <c r="E20" i="2"/>
  <c r="E15" i="2"/>
  <c r="E36" i="2"/>
  <c r="F41" i="1"/>
  <c r="G41" i="1" s="1"/>
  <c r="C12" i="1"/>
  <c r="C11" i="1"/>
  <c r="O47" i="1" l="1"/>
  <c r="O43" i="1"/>
  <c r="O26" i="1"/>
  <c r="O34" i="1"/>
  <c r="O48" i="1"/>
  <c r="O33" i="1"/>
  <c r="O45" i="1"/>
  <c r="O21" i="1"/>
  <c r="O28" i="1"/>
  <c r="O40" i="1"/>
  <c r="O23" i="1"/>
  <c r="O22" i="1"/>
  <c r="O27" i="1"/>
  <c r="O39" i="1"/>
  <c r="O36" i="1"/>
  <c r="O25" i="1"/>
  <c r="O38" i="1"/>
  <c r="O37" i="1"/>
  <c r="O24" i="1"/>
  <c r="O32" i="1"/>
  <c r="O29" i="1"/>
  <c r="O42" i="1"/>
  <c r="O41" i="1"/>
  <c r="O46" i="1"/>
  <c r="O31" i="1"/>
  <c r="C15" i="1"/>
  <c r="C18" i="1" s="1"/>
  <c r="O44" i="1"/>
  <c r="O35" i="1"/>
  <c r="O30" i="1"/>
  <c r="C16" i="1"/>
  <c r="D18" i="1" s="1"/>
  <c r="I41" i="1"/>
  <c r="F16" i="1" l="1"/>
  <c r="F18" i="1" s="1"/>
  <c r="F17" i="1" l="1"/>
</calcChain>
</file>

<file path=xl/sharedStrings.xml><?xml version="1.0" encoding="utf-8"?>
<sst xmlns="http://schemas.openxmlformats.org/spreadsheetml/2006/main" count="327" uniqueCount="138">
  <si>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</si>
  <si>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</si>
  <si>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</si>
  <si>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</si>
  <si>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</si>
  <si>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</si>
  <si>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</si>
  <si>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</si>
  <si>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</si>
  <si>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</si>
  <si>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</si>
  <si>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</si>
  <si>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</si>
  <si>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</si>
  <si>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</si>
  <si>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</si>
  <si>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</si>
  <si>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</si>
  <si>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</si>
  <si>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</si>
  <si>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</si>
  <si>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</si>
  <si>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</si>
  <si>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</si>
  <si>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</si>
  <si>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</si>
  <si>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</si>
  <si>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</si>
  <si>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</si>
  <si>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</si>
  <si>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</si>
  <si>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</si>
  <si>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</si>
  <si>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</si>
  <si>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</si>
  <si>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</si>
  <si>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</si>
  <si>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</si>
  <si>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</si>
  <si>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</si>
  <si>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</si>
  <si>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</si>
  <si>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</si>
  <si>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</si>
  <si>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</si>
  <si>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</si>
  <si>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AD Cap</t>
  </si>
  <si>
    <t>2430603.24 </t>
  </si>
  <si>
    <t> 31.08.1942 17:45 </t>
  </si>
  <si>
    <t> -0.30 </t>
  </si>
  <si>
    <t>V </t>
  </si>
  <si>
    <t> W.Zessewitsch </t>
  </si>
  <si>
    <t> IODE 4.1.169 </t>
  </si>
  <si>
    <t>2430609.21 </t>
  </si>
  <si>
    <t> 06.09.1942 17:02 </t>
  </si>
  <si>
    <t> -0.25 </t>
  </si>
  <si>
    <t>2430612.28 </t>
  </si>
  <si>
    <t> 09.09.1942 18:43 </t>
  </si>
  <si>
    <t> -0.14 </t>
  </si>
  <si>
    <t>2430637.18 </t>
  </si>
  <si>
    <t> 04.10.1942 16:19 </t>
  </si>
  <si>
    <t> -0.39 </t>
  </si>
  <si>
    <t>2430643.20 </t>
  </si>
  <si>
    <t> 10.10.1942 16:48 </t>
  </si>
  <si>
    <t> -0.29 </t>
  </si>
  <si>
    <t>2430664.15 </t>
  </si>
  <si>
    <t> 31.10.1942 15:36 </t>
  </si>
  <si>
    <t> -0.05 </t>
  </si>
  <si>
    <t>2430671.36 </t>
  </si>
  <si>
    <t> 07.11.1942 20:38 </t>
  </si>
  <si>
    <t> -0.24 </t>
  </si>
  <si>
    <t>2430696.16 </t>
  </si>
  <si>
    <t> 02.12.1942 15:50 </t>
  </si>
  <si>
    <t> -0.59 </t>
  </si>
  <si>
    <t>2430906.33 </t>
  </si>
  <si>
    <t> 30.06.1943 19:55 </t>
  </si>
  <si>
    <t> -0.52 </t>
  </si>
  <si>
    <t>2430908.38 </t>
  </si>
  <si>
    <t> 02.07.1943 21:07 </t>
  </si>
  <si>
    <t> 0.05 </t>
  </si>
  <si>
    <t>2430915.38 </t>
  </si>
  <si>
    <t> 09.07.1943 21:07 </t>
  </si>
  <si>
    <t> -0.35 </t>
  </si>
  <si>
    <t>2430968.33 </t>
  </si>
  <si>
    <t> 31.08.1943 19:55 </t>
  </si>
  <si>
    <t> -0.67 </t>
  </si>
  <si>
    <t>2430971.25 </t>
  </si>
  <si>
    <t> 03.09.1943 18:00 </t>
  </si>
  <si>
    <t> -0.70 </t>
  </si>
  <si>
    <t>2430992.35 </t>
  </si>
  <si>
    <t> 24.09.1943 20:24 </t>
  </si>
  <si>
    <t> -0.32 </t>
  </si>
  <si>
    <t>2431001.18 </t>
  </si>
  <si>
    <t> 03.10.1943 16:19 </t>
  </si>
  <si>
    <t> -0.37 </t>
  </si>
  <si>
    <t>2431023.23 </t>
  </si>
  <si>
    <t> 25.10.1943 17:31 </t>
  </si>
  <si>
    <t> -0.51 </t>
  </si>
  <si>
    <t>2431267.33 </t>
  </si>
  <si>
    <t> 25.06.1944 19:55 </t>
  </si>
  <si>
    <t> -0.54 </t>
  </si>
  <si>
    <t>2431270.38 </t>
  </si>
  <si>
    <t> 28.06.1944 21:07 </t>
  </si>
  <si>
    <t> -0.45 </t>
  </si>
  <si>
    <t>2431273.35 </t>
  </si>
  <si>
    <t> 01.07.1944 20:24 </t>
  </si>
  <si>
    <t> -0.44 </t>
  </si>
  <si>
    <t>2431282.29 </t>
  </si>
  <si>
    <t> 10.07.1944 18:57 </t>
  </si>
  <si>
    <t> -0.38 </t>
  </si>
  <si>
    <t>2431288.29 </t>
  </si>
  <si>
    <t> 16.07.1944 18:57 </t>
  </si>
  <si>
    <t>2431313.29 </t>
  </si>
  <si>
    <t> 10.08.1944 18:57 </t>
  </si>
  <si>
    <t>2431322.27 </t>
  </si>
  <si>
    <t> 19.08.1944 18:28 </t>
  </si>
  <si>
    <t>2431328.17 </t>
  </si>
  <si>
    <t> 25.08.1944 16:04 </t>
  </si>
  <si>
    <t> -0.36 </t>
  </si>
  <si>
    <t>2431344.29 </t>
  </si>
  <si>
    <t> 10.09.1944 18:57 </t>
  </si>
  <si>
    <t>2431353.21 </t>
  </si>
  <si>
    <t> 19.09.1944 17:02 </t>
  </si>
  <si>
    <t> -0.48 </t>
  </si>
  <si>
    <t>I</t>
  </si>
  <si>
    <t>II</t>
  </si>
  <si>
    <t>YIKES!!</t>
  </si>
  <si>
    <t>Kreiner</t>
  </si>
  <si>
    <t>G6362-0327</t>
  </si>
  <si>
    <t>E/RS</t>
  </si>
  <si>
    <t xml:space="preserve">Mag </t>
  </si>
  <si>
    <t>Next ToM-P</t>
  </si>
  <si>
    <t>Next ToM-S</t>
  </si>
  <si>
    <t>VSX</t>
  </si>
  <si>
    <t>9.62-10.00</t>
  </si>
  <si>
    <t>EB / RS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</si>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</sst>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5" borderId="0" xfId="0" applyFont="1" applyFill="1" applyAlignment="1"/>
    <xf numFmtId="0" fontId="0" fillId="0" borderId="0" xfId="0" applyAlignment="1">
      <alignment horizontal="right"/>
    </xf>
    <xf numFmtId="0" fontId="23" fillId="6" borderId="13" xfId="0" applyFont="1" applyFill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22" fontId="24" fillId="0" borderId="16" xfId="0" applyNumberFormat="1" applyFont="1" applyBorder="1" applyAlignment="1">
      <alignment horizontal="right" vertical="center"/>
    </xf>
    <xf numFmtId="22" fontId="24" fillId="0" borderId="17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6" fillId="0" borderId="0" xfId="0" applyFont="1" applyAlignment="1"/>
    <xf numFmtId="0" fontId="6" fillId="6" borderId="14" xfId="0" applyFont="1" applyFill="1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Cap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E-40C4-843B-48B984D19A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-0.29795139999987441</c:v>
                </c:pt>
                <c:pt idx="1">
                  <c:v>-0.24629420000201208</c:v>
                </c:pt>
                <c:pt idx="2">
                  <c:v>-0.13546560000031604</c:v>
                </c:pt>
                <c:pt idx="3">
                  <c:v>-0.38842250000016065</c:v>
                </c:pt>
                <c:pt idx="4">
                  <c:v>-0.28676529999938793</c:v>
                </c:pt>
                <c:pt idx="5">
                  <c:v>-5.0965099999302765E-2</c:v>
                </c:pt>
                <c:pt idx="6">
                  <c:v>-0.23889359999884618</c:v>
                </c:pt>
                <c:pt idx="7">
                  <c:v>-0.59185050000087358</c:v>
                </c:pt>
                <c:pt idx="8">
                  <c:v>-0.52301989999978105</c:v>
                </c:pt>
                <c:pt idx="9">
                  <c:v>4.7394400000484893E-2</c:v>
                </c:pt>
                <c:pt idx="10">
                  <c:v>-0.35053409999818541</c:v>
                </c:pt>
                <c:pt idx="11">
                  <c:v>-0.66561929999807035</c:v>
                </c:pt>
                <c:pt idx="12">
                  <c:v>-0.70479070000146748</c:v>
                </c:pt>
                <c:pt idx="13">
                  <c:v>-0.3189905000035651</c:v>
                </c:pt>
                <c:pt idx="14">
                  <c:v>-0.36650469999949564</c:v>
                </c:pt>
                <c:pt idx="15">
                  <c:v>-0.51029019999987213</c:v>
                </c:pt>
                <c:pt idx="16">
                  <c:v>-0.54193069999746513</c:v>
                </c:pt>
                <c:pt idx="17">
                  <c:v>-0.45110209999984363</c:v>
                </c:pt>
                <c:pt idx="18">
                  <c:v>-0.44027350000033039</c:v>
                </c:pt>
                <c:pt idx="19">
                  <c:v>-0.37778769999931683</c:v>
                </c:pt>
                <c:pt idx="20">
                  <c:v>-0.29613049999898067</c:v>
                </c:pt>
                <c:pt idx="21">
                  <c:v>-0.44908740000028047</c:v>
                </c:pt>
                <c:pt idx="22">
                  <c:v>-0.34660159999839379</c:v>
                </c:pt>
                <c:pt idx="23">
                  <c:v>-0.3649444000038784</c:v>
                </c:pt>
                <c:pt idx="24">
                  <c:v>-0.52038710000124411</c:v>
                </c:pt>
                <c:pt idx="25">
                  <c:v>-0.47790130000066711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1E-40C4-843B-48B984D19A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7">
                  <c:v>4.640636684052879E-2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1E-40C4-843B-48B984D19A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1E-40C4-843B-48B984D19A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1E-40C4-843B-48B984D19A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1E-40C4-843B-48B984D19A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1E-40C4-843B-48B984D19A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-0.38687753962668331</c:v>
                </c:pt>
                <c:pt idx="1">
                  <c:v>-0.38676907063639759</c:v>
                </c:pt>
                <c:pt idx="2">
                  <c:v>-0.38671483614125479</c:v>
                </c:pt>
                <c:pt idx="3">
                  <c:v>-0.3862538429325405</c:v>
                </c:pt>
                <c:pt idx="4">
                  <c:v>-0.38614537394225479</c:v>
                </c:pt>
                <c:pt idx="5">
                  <c:v>-0.38576573247625479</c:v>
                </c:pt>
                <c:pt idx="6">
                  <c:v>-0.38563014623839764</c:v>
                </c:pt>
                <c:pt idx="7">
                  <c:v>-0.38516915302968341</c:v>
                </c:pt>
                <c:pt idx="8">
                  <c:v>-0.38131850387454069</c:v>
                </c:pt>
                <c:pt idx="9">
                  <c:v>-0.38129138662696926</c:v>
                </c:pt>
                <c:pt idx="10">
                  <c:v>-0.38115580038911212</c:v>
                </c:pt>
                <c:pt idx="11">
                  <c:v>-0.38017957947654069</c:v>
                </c:pt>
                <c:pt idx="12">
                  <c:v>-0.38012534498139783</c:v>
                </c:pt>
                <c:pt idx="13">
                  <c:v>-0.37974570351539788</c:v>
                </c:pt>
                <c:pt idx="14">
                  <c:v>-0.37958300002996931</c:v>
                </c:pt>
                <c:pt idx="15">
                  <c:v>-0.37917624131639788</c:v>
                </c:pt>
                <c:pt idx="16">
                  <c:v>-0.37470189546711236</c:v>
                </c:pt>
                <c:pt idx="17">
                  <c:v>-0.3746476609719695</c:v>
                </c:pt>
                <c:pt idx="18">
                  <c:v>-0.37459342647682664</c:v>
                </c:pt>
                <c:pt idx="19">
                  <c:v>-0.37443072299139807</c:v>
                </c:pt>
                <c:pt idx="20">
                  <c:v>-0.37432225400111235</c:v>
                </c:pt>
                <c:pt idx="21">
                  <c:v>-0.37386126079239806</c:v>
                </c:pt>
                <c:pt idx="22">
                  <c:v>-0.37369855730696949</c:v>
                </c:pt>
                <c:pt idx="23">
                  <c:v>-0.37359008831668378</c:v>
                </c:pt>
                <c:pt idx="24">
                  <c:v>-0.37329179859339812</c:v>
                </c:pt>
                <c:pt idx="25">
                  <c:v>-0.37312909510796954</c:v>
                </c:pt>
                <c:pt idx="26">
                  <c:v>8.9800404210170215E-3</c:v>
                </c:pt>
                <c:pt idx="27">
                  <c:v>1.4484841678016828E-2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1E-40C4-843B-48B984D19A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-7299</c:v>
                </c:pt>
                <c:pt idx="1">
                  <c:v>-7297</c:v>
                </c:pt>
                <c:pt idx="2">
                  <c:v>-7296</c:v>
                </c:pt>
                <c:pt idx="3">
                  <c:v>-7287.5</c:v>
                </c:pt>
                <c:pt idx="4">
                  <c:v>-7285.5</c:v>
                </c:pt>
                <c:pt idx="5">
                  <c:v>-7278.5</c:v>
                </c:pt>
                <c:pt idx="6">
                  <c:v>-7276</c:v>
                </c:pt>
                <c:pt idx="7">
                  <c:v>-7267.5</c:v>
                </c:pt>
                <c:pt idx="8">
                  <c:v>-7196.5</c:v>
                </c:pt>
                <c:pt idx="9">
                  <c:v>-7196</c:v>
                </c:pt>
                <c:pt idx="10">
                  <c:v>-7193.5</c:v>
                </c:pt>
                <c:pt idx="11">
                  <c:v>-7175.5</c:v>
                </c:pt>
                <c:pt idx="12">
                  <c:v>-7174.5</c:v>
                </c:pt>
                <c:pt idx="13">
                  <c:v>-7167.5</c:v>
                </c:pt>
                <c:pt idx="14">
                  <c:v>-7164.5</c:v>
                </c:pt>
                <c:pt idx="15">
                  <c:v>-7157</c:v>
                </c:pt>
                <c:pt idx="16">
                  <c:v>-7074.5</c:v>
                </c:pt>
                <c:pt idx="17">
                  <c:v>-7073.5</c:v>
                </c:pt>
                <c:pt idx="18">
                  <c:v>-7072.5</c:v>
                </c:pt>
                <c:pt idx="19">
                  <c:v>-7069.5</c:v>
                </c:pt>
                <c:pt idx="20">
                  <c:v>-7067.5</c:v>
                </c:pt>
                <c:pt idx="21">
                  <c:v>-7059</c:v>
                </c:pt>
                <c:pt idx="22">
                  <c:v>-7056</c:v>
                </c:pt>
                <c:pt idx="23">
                  <c:v>-7054</c:v>
                </c:pt>
                <c:pt idx="24">
                  <c:v>-7048.5</c:v>
                </c:pt>
                <c:pt idx="25">
                  <c:v>-7045.5</c:v>
                </c:pt>
                <c:pt idx="26">
                  <c:v>0</c:v>
                </c:pt>
                <c:pt idx="27">
                  <c:v>101.5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1E-40C4-843B-48B984D19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960760"/>
        <c:axId val="1"/>
      </c:scatterChart>
      <c:valAx>
        <c:axId val="68496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96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794C92-86F0-BD19-6761-792E0EABC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tr">
        <f>F1&amp;" / GSC "&amp;RIGHT(I1,9)</f>
        <v>AD Cap / GSC 6362-0327</v>
      </c>
      <c r="F1" s="30" t="s">
        <v>46</v>
      </c>
      <c r="G1" s="31"/>
      <c r="H1" s="32"/>
      <c r="I1" s="33" t="s">
        <v>128</v>
      </c>
      <c r="J1" s="34"/>
      <c r="K1" s="35"/>
      <c r="L1" s="36"/>
      <c r="M1" s="37">
        <v>52502.932303466841</v>
      </c>
      <c r="N1" s="37">
        <v>2.9584160815644869</v>
      </c>
      <c r="O1" s="36" t="s">
        <v>129</v>
      </c>
    </row>
    <row r="2" spans="1:15" ht="12.95" customHeight="1" x14ac:dyDescent="0.2">
      <c r="A2" t="s">
        <v>23</v>
      </c>
      <c r="B2" s="59" t="s">
        <v>135</v>
      </c>
      <c r="C2" s="29"/>
      <c r="D2" s="3"/>
      <c r="E2" s="50" t="s">
        <v>126</v>
      </c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6">
        <v>52202.53</v>
      </c>
      <c r="D4" s="27">
        <v>2.9591713999999998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  <c r="E6" s="59" t="s">
        <v>127</v>
      </c>
    </row>
    <row r="7" spans="1:15" ht="12.95" customHeight="1" x14ac:dyDescent="0.2">
      <c r="A7" t="s">
        <v>2</v>
      </c>
      <c r="C7" s="51">
        <v>52202.53</v>
      </c>
      <c r="D7" s="28" t="s">
        <v>133</v>
      </c>
      <c r="E7">
        <v>52502.932303466841</v>
      </c>
    </row>
    <row r="8" spans="1:15" ht="12.95" customHeight="1" x14ac:dyDescent="0.2">
      <c r="A8" t="s">
        <v>3</v>
      </c>
      <c r="C8" s="51">
        <v>2.9591713999999998</v>
      </c>
      <c r="D8" s="28" t="s">
        <v>133</v>
      </c>
      <c r="E8">
        <v>2.9584160815644869</v>
      </c>
    </row>
    <row r="9" spans="1:15" ht="12.95" customHeight="1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0">
        <f ca="1">INTERCEPT(INDIRECT($E$9):G992,INDIRECT($D$9):F992)</f>
        <v>8.9800404210170215E-3</v>
      </c>
      <c r="D11" s="3"/>
      <c r="E11" s="10"/>
    </row>
    <row r="12" spans="1:15" ht="12.95" customHeight="1" x14ac:dyDescent="0.2">
      <c r="A12" s="10" t="s">
        <v>16</v>
      </c>
      <c r="B12" s="10"/>
      <c r="C12" s="20">
        <f ca="1">SLOPE(INDIRECT($E$9):G992,INDIRECT($D$9):F992)</f>
        <v>5.4234495142855234E-5</v>
      </c>
      <c r="D12" s="3"/>
      <c r="E12" s="52" t="s">
        <v>130</v>
      </c>
      <c r="F12" s="60" t="s">
        <v>134</v>
      </c>
    </row>
    <row r="13" spans="1:15" ht="12.95" customHeight="1" x14ac:dyDescent="0.2">
      <c r="A13" s="10" t="s">
        <v>18</v>
      </c>
      <c r="B13" s="10"/>
      <c r="C13" s="3" t="s">
        <v>13</v>
      </c>
      <c r="E13" s="53" t="s">
        <v>32</v>
      </c>
      <c r="F13" s="54">
        <v>1</v>
      </c>
    </row>
    <row r="14" spans="1:15" ht="12.95" customHeight="1" x14ac:dyDescent="0.2">
      <c r="A14" s="10"/>
      <c r="B14" s="10"/>
      <c r="C14" s="10"/>
      <c r="E14" s="53" t="s">
        <v>30</v>
      </c>
      <c r="F14" s="55">
        <f ca="1">NOW()+15018.5+$C$5/24</f>
        <v>60517.721799652776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52501.42076912443</v>
      </c>
      <c r="E15" s="53" t="s">
        <v>33</v>
      </c>
      <c r="F15" s="55">
        <f ca="1">ROUND(2*($F$14-$C$7)/$C$8,0)/2+$F$13</f>
        <v>2811</v>
      </c>
    </row>
    <row r="16" spans="1:15" ht="12.95" customHeight="1" x14ac:dyDescent="0.2">
      <c r="A16" s="15" t="s">
        <v>4</v>
      </c>
      <c r="B16" s="10"/>
      <c r="C16" s="16">
        <f ca="1">+C8+C12</f>
        <v>2.9592256344951426</v>
      </c>
      <c r="E16" s="53" t="s">
        <v>34</v>
      </c>
      <c r="F16" s="55">
        <f ca="1">ROUND(2*($F$14-$C$15)/$C$16,0)/2+$F$13</f>
        <v>2710</v>
      </c>
    </row>
    <row r="17" spans="1:18" ht="12.95" customHeight="1" thickBot="1" x14ac:dyDescent="0.25">
      <c r="A17" s="14" t="s">
        <v>27</v>
      </c>
      <c r="B17" s="10"/>
      <c r="C17" s="10">
        <f>COUNT(C21:C2191)</f>
        <v>28</v>
      </c>
      <c r="E17" s="53" t="s">
        <v>131</v>
      </c>
      <c r="F17" s="56">
        <f ca="1">+$C$15+$C$16*$F$16-15018.5-$C$5/24</f>
        <v>45502.818071939604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52501.42076912443</v>
      </c>
      <c r="D18" s="19">
        <f ca="1">+C16</f>
        <v>2.9592256344951426</v>
      </c>
      <c r="E18" s="58" t="s">
        <v>132</v>
      </c>
      <c r="F18" s="57">
        <f ca="1">+($C$15+$C$16*$F$16)-($C$16/2)-15018.5-$C$5/24</f>
        <v>45501.338459122358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133</v>
      </c>
      <c r="I20" s="7" t="s">
        <v>36</v>
      </c>
      <c r="J20" s="7" t="s">
        <v>136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137</v>
      </c>
    </row>
    <row r="21" spans="1:18" ht="12.95" customHeight="1" x14ac:dyDescent="0.2">
      <c r="A21" t="s">
        <v>52</v>
      </c>
      <c r="B21" t="s">
        <v>124</v>
      </c>
      <c r="C21" s="8">
        <v>30603.24</v>
      </c>
      <c r="D21" s="8" t="s">
        <v>36</v>
      </c>
      <c r="E21">
        <f>+(C21-C$7)/C$8</f>
        <v>-7299.1006874424374</v>
      </c>
      <c r="F21">
        <f>ROUND(2*E21,0)/2</f>
        <v>-7299</v>
      </c>
      <c r="G21">
        <f>+C21-(C$7+F21*C$8)</f>
        <v>-0.29795139999987441</v>
      </c>
      <c r="I21">
        <f>+G21</f>
        <v>-0.29795139999987441</v>
      </c>
      <c r="O21">
        <f ca="1">+C$11+C$12*$F21</f>
        <v>-0.38687753962668331</v>
      </c>
      <c r="Q21" s="2">
        <f>+C21-15018.5</f>
        <v>15584.740000000002</v>
      </c>
    </row>
    <row r="22" spans="1:18" ht="12.95" customHeight="1" x14ac:dyDescent="0.2">
      <c r="A22" t="s">
        <v>52</v>
      </c>
      <c r="B22" t="s">
        <v>124</v>
      </c>
      <c r="C22" s="8">
        <v>30609.21</v>
      </c>
      <c r="D22" s="8" t="s">
        <v>36</v>
      </c>
      <c r="E22">
        <f>+(C22-C$7)/C$8</f>
        <v>-7297.0832307990004</v>
      </c>
      <c r="F22">
        <f>ROUND(2*E22,0)/2</f>
        <v>-7297</v>
      </c>
      <c r="G22">
        <f>+C22-(C$7+F22*C$8)</f>
        <v>-0.24629420000201208</v>
      </c>
      <c r="I22">
        <f>+G22</f>
        <v>-0.24629420000201208</v>
      </c>
      <c r="O22">
        <f ca="1">+C$11+C$12*$F22</f>
        <v>-0.38676907063639759</v>
      </c>
      <c r="Q22" s="2">
        <f>+C22-15018.5</f>
        <v>15590.71</v>
      </c>
    </row>
    <row r="23" spans="1:18" ht="12.95" customHeight="1" x14ac:dyDescent="0.2">
      <c r="A23" t="s">
        <v>52</v>
      </c>
      <c r="B23" t="s">
        <v>124</v>
      </c>
      <c r="C23" s="8">
        <v>30612.28</v>
      </c>
      <c r="D23" s="8" t="s">
        <v>36</v>
      </c>
      <c r="E23">
        <f>+(C23-C$7)/C$8</f>
        <v>-7296.0457782202147</v>
      </c>
      <c r="F23">
        <f>ROUND(2*E23,0)/2</f>
        <v>-7296</v>
      </c>
      <c r="G23">
        <f>+C23-(C$7+F23*C$8)</f>
        <v>-0.13546560000031604</v>
      </c>
      <c r="I23">
        <f>+G23</f>
        <v>-0.13546560000031604</v>
      </c>
      <c r="O23">
        <f ca="1">+C$11+C$12*$F23</f>
        <v>-0.38671483614125479</v>
      </c>
      <c r="Q23" s="2">
        <f>+C23-15018.5</f>
        <v>15593.779999999999</v>
      </c>
    </row>
    <row r="24" spans="1:18" ht="12.95" customHeight="1" x14ac:dyDescent="0.2">
      <c r="A24" t="s">
        <v>52</v>
      </c>
      <c r="B24" t="s">
        <v>125</v>
      </c>
      <c r="C24" s="8">
        <v>30637.18</v>
      </c>
      <c r="D24" s="8" t="s">
        <v>36</v>
      </c>
      <c r="E24">
        <f>+(C24-C$7)/C$8</f>
        <v>-7287.6312605616558</v>
      </c>
      <c r="F24">
        <f>ROUND(2*E24,0)/2</f>
        <v>-7287.5</v>
      </c>
      <c r="G24">
        <f>+C24-(C$7+F24*C$8)</f>
        <v>-0.38842250000016065</v>
      </c>
      <c r="I24">
        <f>+G24</f>
        <v>-0.38842250000016065</v>
      </c>
      <c r="O24">
        <f ca="1">+C$11+C$12*$F24</f>
        <v>-0.3862538429325405</v>
      </c>
      <c r="Q24" s="2">
        <f>+C24-15018.5</f>
        <v>15618.68</v>
      </c>
    </row>
    <row r="25" spans="1:18" ht="12.95" customHeight="1" x14ac:dyDescent="0.2">
      <c r="A25" t="s">
        <v>52</v>
      </c>
      <c r="B25" t="s">
        <v>125</v>
      </c>
      <c r="C25" s="8">
        <v>30643.200000000001</v>
      </c>
      <c r="D25" s="8" t="s">
        <v>36</v>
      </c>
      <c r="E25">
        <f>+(C25-C$7)/C$8</f>
        <v>-7285.5969072964144</v>
      </c>
      <c r="F25">
        <f>ROUND(2*E25,0)/2</f>
        <v>-7285.5</v>
      </c>
      <c r="G25">
        <f>+C25-(C$7+F25*C$8)</f>
        <v>-0.28676529999938793</v>
      </c>
      <c r="I25">
        <f>+G25</f>
        <v>-0.28676529999938793</v>
      </c>
      <c r="O25">
        <f ca="1">+C$11+C$12*$F25</f>
        <v>-0.38614537394225479</v>
      </c>
      <c r="Q25" s="2">
        <f>+C25-15018.5</f>
        <v>15624.7</v>
      </c>
    </row>
    <row r="26" spans="1:18" ht="12.95" customHeight="1" x14ac:dyDescent="0.2">
      <c r="A26" t="s">
        <v>52</v>
      </c>
      <c r="B26" t="s">
        <v>125</v>
      </c>
      <c r="C26" s="8">
        <v>30664.15</v>
      </c>
      <c r="D26" s="8" t="s">
        <v>36</v>
      </c>
      <c r="E26">
        <f>+(C26-C$7)/C$8</f>
        <v>-7278.517222760398</v>
      </c>
      <c r="F26">
        <f>ROUND(2*E26,0)/2</f>
        <v>-7278.5</v>
      </c>
      <c r="G26">
        <f>+C26-(C$7+F26*C$8)</f>
        <v>-5.0965099999302765E-2</v>
      </c>
      <c r="I26">
        <f>+G26</f>
        <v>-5.0965099999302765E-2</v>
      </c>
      <c r="O26">
        <f ca="1">+C$11+C$12*$F26</f>
        <v>-0.38576573247625479</v>
      </c>
      <c r="Q26" s="2">
        <f>+C26-15018.5</f>
        <v>15645.650000000001</v>
      </c>
    </row>
    <row r="27" spans="1:18" ht="12.95" customHeight="1" x14ac:dyDescent="0.2">
      <c r="A27" t="s">
        <v>52</v>
      </c>
      <c r="B27" t="s">
        <v>124</v>
      </c>
      <c r="C27" s="8">
        <v>30671.360000000001</v>
      </c>
      <c r="D27" s="8" t="s">
        <v>36</v>
      </c>
      <c r="E27">
        <f>+(C27-C$7)/C$8</f>
        <v>-7276.0807298962136</v>
      </c>
      <c r="F27">
        <f>ROUND(2*E27,0)/2</f>
        <v>-7276</v>
      </c>
      <c r="G27">
        <f>+C27-(C$7+F27*C$8)</f>
        <v>-0.23889359999884618</v>
      </c>
      <c r="I27">
        <f>+G27</f>
        <v>-0.23889359999884618</v>
      </c>
      <c r="O27">
        <f ca="1">+C$11+C$12*$F27</f>
        <v>-0.38563014623839764</v>
      </c>
      <c r="Q27" s="2">
        <f>+C27-15018.5</f>
        <v>15652.86</v>
      </c>
    </row>
    <row r="28" spans="1:18" x14ac:dyDescent="0.2">
      <c r="A28" t="s">
        <v>52</v>
      </c>
      <c r="B28" t="s">
        <v>125</v>
      </c>
      <c r="C28" s="8">
        <v>30696.16</v>
      </c>
      <c r="D28" s="8" t="s">
        <v>36</v>
      </c>
      <c r="E28">
        <f>+(C28-C$7)/C$8</f>
        <v>-7267.7000054812643</v>
      </c>
      <c r="F28">
        <f>ROUND(2*E28,0)/2</f>
        <v>-7267.5</v>
      </c>
      <c r="G28">
        <f>+C28-(C$7+F28*C$8)</f>
        <v>-0.59185050000087358</v>
      </c>
      <c r="I28">
        <f>+G28</f>
        <v>-0.59185050000087358</v>
      </c>
      <c r="O28">
        <f ca="1">+C$11+C$12*$F28</f>
        <v>-0.38516915302968341</v>
      </c>
      <c r="Q28" s="2">
        <f>+C28-15018.5</f>
        <v>15677.66</v>
      </c>
    </row>
    <row r="29" spans="1:18" x14ac:dyDescent="0.2">
      <c r="A29" t="s">
        <v>52</v>
      </c>
      <c r="B29" t="s">
        <v>125</v>
      </c>
      <c r="C29" s="8">
        <v>30906.33</v>
      </c>
      <c r="D29" s="8" t="s">
        <v>36</v>
      </c>
      <c r="E29">
        <f>+(C29-C$7)/C$8</f>
        <v>-7196.6767453889288</v>
      </c>
      <c r="F29">
        <f>ROUND(2*E29,0)/2</f>
        <v>-7196.5</v>
      </c>
      <c r="G29">
        <f>+C29-(C$7+F29*C$8)</f>
        <v>-0.52301989999978105</v>
      </c>
      <c r="I29">
        <f>+G29</f>
        <v>-0.52301989999978105</v>
      </c>
      <c r="O29">
        <f ca="1">+C$11+C$12*$F29</f>
        <v>-0.38131850387454069</v>
      </c>
      <c r="Q29" s="2">
        <f>+C29-15018.5</f>
        <v>15887.830000000002</v>
      </c>
    </row>
    <row r="30" spans="1:18" x14ac:dyDescent="0.2">
      <c r="A30" t="s">
        <v>52</v>
      </c>
      <c r="B30" t="s">
        <v>124</v>
      </c>
      <c r="C30" s="8">
        <v>30908.38</v>
      </c>
      <c r="D30" s="8" t="s">
        <v>36</v>
      </c>
      <c r="E30">
        <f>+(C30-C$7)/C$8</f>
        <v>-7195.9839838949511</v>
      </c>
      <c r="F30">
        <f>ROUND(2*E30,0)/2</f>
        <v>-7196</v>
      </c>
      <c r="G30">
        <f>+C30-(C$7+F30*C$8)</f>
        <v>4.7394400000484893E-2</v>
      </c>
      <c r="I30">
        <f>+G30</f>
        <v>4.7394400000484893E-2</v>
      </c>
      <c r="O30">
        <f ca="1">+C$11+C$12*$F30</f>
        <v>-0.38129138662696926</v>
      </c>
      <c r="Q30" s="2">
        <f>+C30-15018.5</f>
        <v>15889.880000000001</v>
      </c>
    </row>
    <row r="31" spans="1:18" x14ac:dyDescent="0.2">
      <c r="A31" t="s">
        <v>52</v>
      </c>
      <c r="B31" t="s">
        <v>125</v>
      </c>
      <c r="C31" s="8">
        <v>30915.38</v>
      </c>
      <c r="D31" s="8" t="s">
        <v>36</v>
      </c>
      <c r="E31">
        <f>+(C31-C$7)/C$8</f>
        <v>-7193.6184568423441</v>
      </c>
      <c r="F31">
        <f>ROUND(2*E31,0)/2</f>
        <v>-7193.5</v>
      </c>
      <c r="G31">
        <f>+C31-(C$7+F31*C$8)</f>
        <v>-0.35053409999818541</v>
      </c>
      <c r="I31">
        <f>+G31</f>
        <v>-0.35053409999818541</v>
      </c>
      <c r="O31">
        <f ca="1">+C$11+C$12*$F31</f>
        <v>-0.38115580038911212</v>
      </c>
      <c r="Q31" s="2">
        <f>+C31-15018.5</f>
        <v>15896.880000000001</v>
      </c>
    </row>
    <row r="32" spans="1:18" x14ac:dyDescent="0.2">
      <c r="A32" t="s">
        <v>52</v>
      </c>
      <c r="B32" t="s">
        <v>125</v>
      </c>
      <c r="C32" s="8">
        <v>30968.33</v>
      </c>
      <c r="D32" s="8" t="s">
        <v>36</v>
      </c>
      <c r="E32">
        <f>+(C32-C$7)/C$8</f>
        <v>-7175.724934351555</v>
      </c>
      <c r="F32">
        <f>ROUND(2*E32,0)/2</f>
        <v>-7175.5</v>
      </c>
      <c r="G32">
        <f>+C32-(C$7+F32*C$8)</f>
        <v>-0.66561929999807035</v>
      </c>
      <c r="I32">
        <f>+G32</f>
        <v>-0.66561929999807035</v>
      </c>
      <c r="O32">
        <f ca="1">+C$11+C$12*$F32</f>
        <v>-0.38017957947654069</v>
      </c>
      <c r="Q32" s="2">
        <f>+C32-15018.5</f>
        <v>15949.830000000002</v>
      </c>
    </row>
    <row r="33" spans="1:17" x14ac:dyDescent="0.2">
      <c r="A33" t="s">
        <v>52</v>
      </c>
      <c r="B33" t="s">
        <v>125</v>
      </c>
      <c r="C33" s="8">
        <v>30971.25</v>
      </c>
      <c r="D33" s="8" t="s">
        <v>36</v>
      </c>
      <c r="E33">
        <f>+(C33-C$7)/C$8</f>
        <v>-7174.7381716381824</v>
      </c>
      <c r="F33">
        <f>ROUND(2*E33,0)/2</f>
        <v>-7174.5</v>
      </c>
      <c r="G33">
        <f>+C33-(C$7+F33*C$8)</f>
        <v>-0.70479070000146748</v>
      </c>
      <c r="I33">
        <f>+G33</f>
        <v>-0.70479070000146748</v>
      </c>
      <c r="O33">
        <f ca="1">+C$11+C$12*$F33</f>
        <v>-0.38012534498139783</v>
      </c>
      <c r="Q33" s="2">
        <f>+C33-15018.5</f>
        <v>15952.75</v>
      </c>
    </row>
    <row r="34" spans="1:17" x14ac:dyDescent="0.2">
      <c r="A34" t="s">
        <v>52</v>
      </c>
      <c r="B34" t="s">
        <v>125</v>
      </c>
      <c r="C34" s="8">
        <v>30992.35</v>
      </c>
      <c r="D34" s="8" t="s">
        <v>36</v>
      </c>
      <c r="E34">
        <f>+(C34-C$7)/C$8</f>
        <v>-7167.6077972367539</v>
      </c>
      <c r="F34">
        <f>ROUND(2*E34,0)/2</f>
        <v>-7167.5</v>
      </c>
      <c r="G34">
        <f>+C34-(C$7+F34*C$8)</f>
        <v>-0.3189905000035651</v>
      </c>
      <c r="I34">
        <f>+G34</f>
        <v>-0.3189905000035651</v>
      </c>
      <c r="O34">
        <f ca="1">+C$11+C$12*$F34</f>
        <v>-0.37974570351539788</v>
      </c>
      <c r="Q34" s="2">
        <f>+C34-15018.5</f>
        <v>15973.849999999999</v>
      </c>
    </row>
    <row r="35" spans="1:17" x14ac:dyDescent="0.2">
      <c r="A35" t="s">
        <v>52</v>
      </c>
      <c r="B35" t="s">
        <v>125</v>
      </c>
      <c r="C35" s="8">
        <v>31001.18</v>
      </c>
      <c r="D35" s="8" t="s">
        <v>36</v>
      </c>
      <c r="E35">
        <f>+(C35-C$7)/C$8</f>
        <v>-7164.6238538261086</v>
      </c>
      <c r="F35">
        <f>ROUND(2*E35,0)/2</f>
        <v>-7164.5</v>
      </c>
      <c r="G35">
        <f>+C35-(C$7+F35*C$8)</f>
        <v>-0.36650469999949564</v>
      </c>
      <c r="I35">
        <f>+G35</f>
        <v>-0.36650469999949564</v>
      </c>
      <c r="O35">
        <f ca="1">+C$11+C$12*$F35</f>
        <v>-0.37958300002996931</v>
      </c>
      <c r="Q35" s="2">
        <f>+C35-15018.5</f>
        <v>15982.68</v>
      </c>
    </row>
    <row r="36" spans="1:17" x14ac:dyDescent="0.2">
      <c r="A36" t="s">
        <v>52</v>
      </c>
      <c r="B36" t="s">
        <v>124</v>
      </c>
      <c r="C36" s="8">
        <v>31023.23</v>
      </c>
      <c r="D36" s="8" t="s">
        <v>36</v>
      </c>
      <c r="E36">
        <f>+(C36-C$7)/C$8</f>
        <v>-7157.1724436103977</v>
      </c>
      <c r="F36">
        <f>ROUND(2*E36,0)/2</f>
        <v>-7157</v>
      </c>
      <c r="G36">
        <f>+C36-(C$7+F36*C$8)</f>
        <v>-0.51029019999987213</v>
      </c>
      <c r="I36">
        <f>+G36</f>
        <v>-0.51029019999987213</v>
      </c>
      <c r="O36">
        <f ca="1">+C$11+C$12*$F36</f>
        <v>-0.37917624131639788</v>
      </c>
      <c r="Q36" s="2">
        <f>+C36-15018.5</f>
        <v>16004.73</v>
      </c>
    </row>
    <row r="37" spans="1:17" x14ac:dyDescent="0.2">
      <c r="A37" t="s">
        <v>52</v>
      </c>
      <c r="B37" t="s">
        <v>125</v>
      </c>
      <c r="C37" s="8">
        <v>31267.33</v>
      </c>
      <c r="D37" s="8" t="s">
        <v>36</v>
      </c>
      <c r="E37">
        <f>+(C37-C$7)/C$8</f>
        <v>-7074.6831359616408</v>
      </c>
      <c r="F37">
        <f>ROUND(2*E37,0)/2</f>
        <v>-7074.5</v>
      </c>
      <c r="G37">
        <f>+C37-(C$7+F37*C$8)</f>
        <v>-0.54193069999746513</v>
      </c>
      <c r="I37">
        <f>+G37</f>
        <v>-0.54193069999746513</v>
      </c>
      <c r="O37">
        <f ca="1">+C$11+C$12*$F37</f>
        <v>-0.37470189546711236</v>
      </c>
      <c r="Q37" s="2">
        <f>+C37-15018.5</f>
        <v>16248.830000000002</v>
      </c>
    </row>
    <row r="38" spans="1:17" x14ac:dyDescent="0.2">
      <c r="A38" t="s">
        <v>52</v>
      </c>
      <c r="B38" t="s">
        <v>125</v>
      </c>
      <c r="C38" s="8">
        <v>31270.38</v>
      </c>
      <c r="D38" s="8" t="s">
        <v>36</v>
      </c>
      <c r="E38">
        <f>+(C38-C$7)/C$8</f>
        <v>-7073.6524420315764</v>
      </c>
      <c r="F38">
        <f>ROUND(2*E38,0)/2</f>
        <v>-7073.5</v>
      </c>
      <c r="G38">
        <f>+C38-(C$7+F38*C$8)</f>
        <v>-0.45110209999984363</v>
      </c>
      <c r="I38">
        <f>+G38</f>
        <v>-0.45110209999984363</v>
      </c>
      <c r="O38">
        <f ca="1">+C$11+C$12*$F38</f>
        <v>-0.3746476609719695</v>
      </c>
      <c r="Q38" s="2">
        <f>+C38-15018.5</f>
        <v>16251.880000000001</v>
      </c>
    </row>
    <row r="39" spans="1:17" x14ac:dyDescent="0.2">
      <c r="A39" t="s">
        <v>52</v>
      </c>
      <c r="B39" t="s">
        <v>125</v>
      </c>
      <c r="C39" s="8">
        <v>31273.35</v>
      </c>
      <c r="D39" s="8" t="s">
        <v>36</v>
      </c>
      <c r="E39">
        <f>+(C39-C$7)/C$8</f>
        <v>-7072.6487826964003</v>
      </c>
      <c r="F39">
        <f>ROUND(2*E39,0)/2</f>
        <v>-7072.5</v>
      </c>
      <c r="G39">
        <f>+C39-(C$7+F39*C$8)</f>
        <v>-0.44027350000033039</v>
      </c>
      <c r="I39">
        <f>+G39</f>
        <v>-0.44027350000033039</v>
      </c>
      <c r="O39">
        <f ca="1">+C$11+C$12*$F39</f>
        <v>-0.37459342647682664</v>
      </c>
      <c r="Q39" s="2">
        <f>+C39-15018.5</f>
        <v>16254.849999999999</v>
      </c>
    </row>
    <row r="40" spans="1:17" x14ac:dyDescent="0.2">
      <c r="A40" t="s">
        <v>52</v>
      </c>
      <c r="B40" t="s">
        <v>125</v>
      </c>
      <c r="C40" s="8">
        <v>31282.29</v>
      </c>
      <c r="D40" s="8" t="s">
        <v>36</v>
      </c>
      <c r="E40">
        <f>+(C40-C$7)/C$8</f>
        <v>-7069.6276667177845</v>
      </c>
      <c r="F40">
        <f>ROUND(2*E40,0)/2</f>
        <v>-7069.5</v>
      </c>
      <c r="G40">
        <f>+C40-(C$7+F40*C$8)</f>
        <v>-0.37778769999931683</v>
      </c>
      <c r="I40">
        <f>+G40</f>
        <v>-0.37778769999931683</v>
      </c>
      <c r="O40">
        <f ca="1">+C$11+C$12*$F40</f>
        <v>-0.37443072299139807</v>
      </c>
      <c r="Q40" s="2">
        <f>+C40-15018.5</f>
        <v>16263.79</v>
      </c>
    </row>
    <row r="41" spans="1:17" x14ac:dyDescent="0.2">
      <c r="A41" t="s">
        <v>52</v>
      </c>
      <c r="B41" t="s">
        <v>125</v>
      </c>
      <c r="C41" s="8">
        <v>31288.29</v>
      </c>
      <c r="D41" s="8" t="s">
        <v>36</v>
      </c>
      <c r="E41">
        <f>+(C41-C$7)/C$8</f>
        <v>-7067.6000721012642</v>
      </c>
      <c r="F41">
        <f>ROUND(2*E41,0)/2</f>
        <v>-7067.5</v>
      </c>
      <c r="G41">
        <f>+C41-(C$7+F41*C$8)</f>
        <v>-0.29613049999898067</v>
      </c>
      <c r="I41">
        <f>+G41</f>
        <v>-0.29613049999898067</v>
      </c>
      <c r="O41">
        <f ca="1">+C$11+C$12*$F41</f>
        <v>-0.37432225400111235</v>
      </c>
      <c r="Q41" s="2">
        <f>+C41-15018.5</f>
        <v>16269.79</v>
      </c>
    </row>
    <row r="42" spans="1:17" x14ac:dyDescent="0.2">
      <c r="A42" t="s">
        <v>52</v>
      </c>
      <c r="B42" t="s">
        <v>124</v>
      </c>
      <c r="C42" s="8">
        <v>31313.29</v>
      </c>
      <c r="D42" s="8" t="s">
        <v>36</v>
      </c>
      <c r="E42">
        <f>+(C42-C$7)/C$8</f>
        <v>-7059.1517611990976</v>
      </c>
      <c r="F42">
        <f>ROUND(2*E42,0)/2</f>
        <v>-7059</v>
      </c>
      <c r="G42">
        <f>+C42-(C$7+F42*C$8)</f>
        <v>-0.44908740000028047</v>
      </c>
      <c r="I42">
        <f>+G42</f>
        <v>-0.44908740000028047</v>
      </c>
      <c r="O42">
        <f ca="1">+C$11+C$12*$F42</f>
        <v>-0.37386126079239806</v>
      </c>
      <c r="Q42" s="2">
        <f>+C42-15018.5</f>
        <v>16294.79</v>
      </c>
    </row>
    <row r="43" spans="1:17" x14ac:dyDescent="0.2">
      <c r="A43" t="s">
        <v>52</v>
      </c>
      <c r="B43" t="s">
        <v>124</v>
      </c>
      <c r="C43" s="8">
        <v>31322.27</v>
      </c>
      <c r="D43" s="8" t="s">
        <v>36</v>
      </c>
      <c r="E43">
        <f>+(C43-C$7)/C$8</f>
        <v>-7056.1171279230393</v>
      </c>
      <c r="F43">
        <f>ROUND(2*E43,0)/2</f>
        <v>-7056</v>
      </c>
      <c r="G43">
        <f>+C43-(C$7+F43*C$8)</f>
        <v>-0.34660159999839379</v>
      </c>
      <c r="I43">
        <f>+G43</f>
        <v>-0.34660159999839379</v>
      </c>
      <c r="O43">
        <f ca="1">+C$11+C$12*$F43</f>
        <v>-0.37369855730696949</v>
      </c>
      <c r="Q43" s="2">
        <f>+C43-15018.5</f>
        <v>16303.77</v>
      </c>
    </row>
    <row r="44" spans="1:17" x14ac:dyDescent="0.2">
      <c r="A44" t="s">
        <v>52</v>
      </c>
      <c r="B44" t="s">
        <v>124</v>
      </c>
      <c r="C44" s="8">
        <v>31328.17</v>
      </c>
      <c r="D44" s="8" t="s">
        <v>36</v>
      </c>
      <c r="E44">
        <f>+(C44-C$7)/C$8</f>
        <v>-7054.1233265501287</v>
      </c>
      <c r="F44">
        <f>ROUND(2*E44,0)/2</f>
        <v>-7054</v>
      </c>
      <c r="G44">
        <f>+C44-(C$7+F44*C$8)</f>
        <v>-0.3649444000038784</v>
      </c>
      <c r="I44">
        <f>+G44</f>
        <v>-0.3649444000038784</v>
      </c>
      <c r="O44">
        <f ca="1">+C$11+C$12*$F44</f>
        <v>-0.37359008831668378</v>
      </c>
      <c r="Q44" s="2">
        <f>+C44-15018.5</f>
        <v>16309.669999999998</v>
      </c>
    </row>
    <row r="45" spans="1:17" x14ac:dyDescent="0.2">
      <c r="A45" t="s">
        <v>52</v>
      </c>
      <c r="B45" t="s">
        <v>125</v>
      </c>
      <c r="C45" s="8">
        <v>31344.29</v>
      </c>
      <c r="D45" s="8" t="s">
        <v>36</v>
      </c>
      <c r="E45">
        <f>+(C45-C$7)/C$8</f>
        <v>-7048.6758556804107</v>
      </c>
      <c r="F45">
        <f>ROUND(2*E45,0)/2</f>
        <v>-7048.5</v>
      </c>
      <c r="G45">
        <f>+C45-(C$7+F45*C$8)</f>
        <v>-0.52038710000124411</v>
      </c>
      <c r="I45">
        <f>+G45</f>
        <v>-0.52038710000124411</v>
      </c>
      <c r="O45">
        <f ca="1">+C$11+C$12*$F45</f>
        <v>-0.37329179859339812</v>
      </c>
      <c r="Q45" s="2">
        <f>+C45-15018.5</f>
        <v>16325.79</v>
      </c>
    </row>
    <row r="46" spans="1:17" x14ac:dyDescent="0.2">
      <c r="A46" t="s">
        <v>52</v>
      </c>
      <c r="B46" t="s">
        <v>125</v>
      </c>
      <c r="C46" s="8">
        <v>31353.21</v>
      </c>
      <c r="D46" s="8" t="s">
        <v>36</v>
      </c>
      <c r="E46">
        <f>+(C46-C$7)/C$8</f>
        <v>-7045.6614983505187</v>
      </c>
      <c r="F46">
        <f>ROUND(2*E46,0)/2</f>
        <v>-7045.5</v>
      </c>
      <c r="G46">
        <f>+C46-(C$7+F46*C$8)</f>
        <v>-0.47790130000066711</v>
      </c>
      <c r="I46">
        <f>+G46</f>
        <v>-0.47790130000066711</v>
      </c>
      <c r="O46">
        <f ca="1">+C$11+C$12*$F46</f>
        <v>-0.37312909510796954</v>
      </c>
      <c r="Q46" s="2">
        <f>+C46-15018.5</f>
        <v>16334.71</v>
      </c>
    </row>
    <row r="47" spans="1:17" x14ac:dyDescent="0.2">
      <c r="A47" s="59" t="s">
        <v>133</v>
      </c>
      <c r="C47" s="8">
        <v>52202.53</v>
      </c>
      <c r="D47" s="8"/>
      <c r="E47">
        <f>+(C47-C$7)/C$8</f>
        <v>0</v>
      </c>
      <c r="F47">
        <f>ROUND(2*E47,0)/2</f>
        <v>0</v>
      </c>
      <c r="G47">
        <f>+C47-(C$7+F47*C$8)</f>
        <v>0</v>
      </c>
      <c r="H47">
        <f>+G47</f>
        <v>0</v>
      </c>
      <c r="O47">
        <f ca="1">+C$11+C$12*$F47</f>
        <v>8.9800404210170215E-3</v>
      </c>
      <c r="Q47" s="2">
        <f>+C47-15018.5</f>
        <v>37184.03</v>
      </c>
    </row>
    <row r="48" spans="1:17" x14ac:dyDescent="0.2">
      <c r="A48" s="59" t="s">
        <v>127</v>
      </c>
      <c r="C48" s="8">
        <v>52502.932303466841</v>
      </c>
      <c r="D48" s="8" t="s">
        <v>13</v>
      </c>
      <c r="E48">
        <f>+(C48-C$7)/C$8</f>
        <v>101.51568221659704</v>
      </c>
      <c r="F48">
        <f>ROUND(2*E48,0)/2</f>
        <v>101.5</v>
      </c>
      <c r="G48">
        <f>+C48-(C$7+F48*C$8)</f>
        <v>4.640636684052879E-2</v>
      </c>
      <c r="J48">
        <f>+G48</f>
        <v>4.640636684052879E-2</v>
      </c>
      <c r="O48">
        <f ca="1">+C$11+C$12*$F48</f>
        <v>1.4484841678016828E-2</v>
      </c>
      <c r="Q48" s="2">
        <f>+C48-15018.5</f>
        <v>37484.432303466841</v>
      </c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59">
    <sortCondition ref="C21:C5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2"/>
  <sheetViews>
    <sheetView topLeftCell="A4" workbookViewId="0">
      <selection activeCell="A11" sqref="A11:D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39</v>
      </c>
      <c r="I1" s="39" t="s">
        <v>40</v>
      </c>
      <c r="J1" s="40" t="s">
        <v>38</v>
      </c>
    </row>
    <row r="2" spans="1:16" x14ac:dyDescent="0.2">
      <c r="I2" s="41" t="s">
        <v>41</v>
      </c>
      <c r="J2" s="42" t="s">
        <v>37</v>
      </c>
    </row>
    <row r="3" spans="1:16" x14ac:dyDescent="0.2">
      <c r="A3" s="43" t="s">
        <v>42</v>
      </c>
      <c r="I3" s="41" t="s">
        <v>43</v>
      </c>
      <c r="J3" s="42" t="s">
        <v>35</v>
      </c>
    </row>
    <row r="4" spans="1:16" x14ac:dyDescent="0.2">
      <c r="I4" s="41" t="s">
        <v>44</v>
      </c>
      <c r="J4" s="42" t="s">
        <v>35</v>
      </c>
    </row>
    <row r="5" spans="1:16" ht="13.5" thickBot="1" x14ac:dyDescent="0.25">
      <c r="I5" s="44" t="s">
        <v>45</v>
      </c>
      <c r="J5" s="45" t="s">
        <v>36</v>
      </c>
    </row>
    <row r="10" spans="1:16" ht="13.5" thickBot="1" x14ac:dyDescent="0.25"/>
    <row r="11" spans="1:16" ht="12.75" customHeight="1" thickBot="1" x14ac:dyDescent="0.25">
      <c r="A11" s="8" t="str">
        <f t="shared" ref="A11:A36" si="0">P11</f>
        <v> IODE 4.1.169 </v>
      </c>
      <c r="B11" s="3" t="str">
        <f t="shared" ref="B11:B36" si="1">IF(H11=INT(H11),"I","II")</f>
        <v>I</v>
      </c>
      <c r="C11" s="8">
        <f t="shared" ref="C11:C36" si="2">1*G11</f>
        <v>30603.24</v>
      </c>
      <c r="D11" s="10" t="str">
        <f t="shared" ref="D11:D36" si="3">VLOOKUP(F11,I$1:J$5,2,FALSE)</f>
        <v>vis</v>
      </c>
      <c r="E11" s="46">
        <f>VLOOKUP(C11,Active!C$21:E$973,3,FALSE)</f>
        <v>-7299.1006874424374</v>
      </c>
      <c r="F11" s="3" t="s">
        <v>45</v>
      </c>
      <c r="G11" s="10" t="str">
        <f t="shared" ref="G11:G36" si="4">MID(I11,3,LEN(I11)-3)</f>
        <v>30603.24</v>
      </c>
      <c r="H11" s="8">
        <f t="shared" ref="H11:H36" si="5">1*K11</f>
        <v>-7299</v>
      </c>
      <c r="I11" s="47" t="s">
        <v>47</v>
      </c>
      <c r="J11" s="48" t="s">
        <v>48</v>
      </c>
      <c r="K11" s="47">
        <v>-7299</v>
      </c>
      <c r="L11" s="47" t="s">
        <v>49</v>
      </c>
      <c r="M11" s="48" t="s">
        <v>50</v>
      </c>
      <c r="N11" s="48"/>
      <c r="O11" s="49" t="s">
        <v>51</v>
      </c>
      <c r="P11" s="49" t="s">
        <v>52</v>
      </c>
    </row>
    <row r="12" spans="1:16" ht="12.75" customHeight="1" thickBot="1" x14ac:dyDescent="0.25">
      <c r="A12" s="8" t="str">
        <f t="shared" si="0"/>
        <v> IODE 4.1.169 </v>
      </c>
      <c r="B12" s="3" t="str">
        <f t="shared" si="1"/>
        <v>I</v>
      </c>
      <c r="C12" s="8">
        <f t="shared" si="2"/>
        <v>30609.21</v>
      </c>
      <c r="D12" s="10" t="str">
        <f t="shared" si="3"/>
        <v>vis</v>
      </c>
      <c r="E12" s="46">
        <f>VLOOKUP(C12,Active!C$21:E$973,3,FALSE)</f>
        <v>-7297.0832307990004</v>
      </c>
      <c r="F12" s="3" t="s">
        <v>45</v>
      </c>
      <c r="G12" s="10" t="str">
        <f t="shared" si="4"/>
        <v>30609.21</v>
      </c>
      <c r="H12" s="8">
        <f t="shared" si="5"/>
        <v>-7297</v>
      </c>
      <c r="I12" s="47" t="s">
        <v>53</v>
      </c>
      <c r="J12" s="48" t="s">
        <v>54</v>
      </c>
      <c r="K12" s="47">
        <v>-7297</v>
      </c>
      <c r="L12" s="47" t="s">
        <v>55</v>
      </c>
      <c r="M12" s="48" t="s">
        <v>50</v>
      </c>
      <c r="N12" s="48"/>
      <c r="O12" s="49" t="s">
        <v>51</v>
      </c>
      <c r="P12" s="49" t="s">
        <v>52</v>
      </c>
    </row>
    <row r="13" spans="1:16" ht="12.75" customHeight="1" thickBot="1" x14ac:dyDescent="0.25">
      <c r="A13" s="8" t="str">
        <f t="shared" si="0"/>
        <v> IODE 4.1.169 </v>
      </c>
      <c r="B13" s="3" t="str">
        <f t="shared" si="1"/>
        <v>I</v>
      </c>
      <c r="C13" s="8">
        <f t="shared" si="2"/>
        <v>30612.28</v>
      </c>
      <c r="D13" s="10" t="str">
        <f t="shared" si="3"/>
        <v>vis</v>
      </c>
      <c r="E13" s="46">
        <f>VLOOKUP(C13,Active!C$21:E$973,3,FALSE)</f>
        <v>-7296.0457782202147</v>
      </c>
      <c r="F13" s="3" t="s">
        <v>45</v>
      </c>
      <c r="G13" s="10" t="str">
        <f t="shared" si="4"/>
        <v>30612.28</v>
      </c>
      <c r="H13" s="8">
        <f t="shared" si="5"/>
        <v>-7296</v>
      </c>
      <c r="I13" s="47" t="s">
        <v>56</v>
      </c>
      <c r="J13" s="48" t="s">
        <v>57</v>
      </c>
      <c r="K13" s="47">
        <v>-7296</v>
      </c>
      <c r="L13" s="47" t="s">
        <v>58</v>
      </c>
      <c r="M13" s="48" t="s">
        <v>50</v>
      </c>
      <c r="N13" s="48"/>
      <c r="O13" s="49" t="s">
        <v>51</v>
      </c>
      <c r="P13" s="49" t="s">
        <v>52</v>
      </c>
    </row>
    <row r="14" spans="1:16" ht="12.75" customHeight="1" thickBot="1" x14ac:dyDescent="0.25">
      <c r="A14" s="8" t="str">
        <f t="shared" si="0"/>
        <v> IODE 4.1.169 </v>
      </c>
      <c r="B14" s="3" t="str">
        <f t="shared" si="1"/>
        <v>II</v>
      </c>
      <c r="C14" s="8">
        <f t="shared" si="2"/>
        <v>30637.18</v>
      </c>
      <c r="D14" s="10" t="str">
        <f t="shared" si="3"/>
        <v>vis</v>
      </c>
      <c r="E14" s="46">
        <f>VLOOKUP(C14,Active!C$21:E$973,3,FALSE)</f>
        <v>-7287.6312605616558</v>
      </c>
      <c r="F14" s="3" t="s">
        <v>45</v>
      </c>
      <c r="G14" s="10" t="str">
        <f t="shared" si="4"/>
        <v>30637.18</v>
      </c>
      <c r="H14" s="8">
        <f t="shared" si="5"/>
        <v>-7287.5</v>
      </c>
      <c r="I14" s="47" t="s">
        <v>59</v>
      </c>
      <c r="J14" s="48" t="s">
        <v>60</v>
      </c>
      <c r="K14" s="47">
        <v>-7287.5</v>
      </c>
      <c r="L14" s="47" t="s">
        <v>61</v>
      </c>
      <c r="M14" s="48" t="s">
        <v>50</v>
      </c>
      <c r="N14" s="48"/>
      <c r="O14" s="49" t="s">
        <v>51</v>
      </c>
      <c r="P14" s="49" t="s">
        <v>52</v>
      </c>
    </row>
    <row r="15" spans="1:16" ht="12.75" customHeight="1" thickBot="1" x14ac:dyDescent="0.25">
      <c r="A15" s="8" t="str">
        <f t="shared" si="0"/>
        <v> IODE 4.1.169 </v>
      </c>
      <c r="B15" s="3" t="str">
        <f t="shared" si="1"/>
        <v>II</v>
      </c>
      <c r="C15" s="8">
        <f t="shared" si="2"/>
        <v>30643.200000000001</v>
      </c>
      <c r="D15" s="10" t="str">
        <f t="shared" si="3"/>
        <v>vis</v>
      </c>
      <c r="E15" s="46">
        <f>VLOOKUP(C15,Active!C$21:E$973,3,FALSE)</f>
        <v>-7285.5969072964144</v>
      </c>
      <c r="F15" s="3" t="s">
        <v>45</v>
      </c>
      <c r="G15" s="10" t="str">
        <f t="shared" si="4"/>
        <v>30643.20</v>
      </c>
      <c r="H15" s="8">
        <f t="shared" si="5"/>
        <v>-7285.5</v>
      </c>
      <c r="I15" s="47" t="s">
        <v>62</v>
      </c>
      <c r="J15" s="48" t="s">
        <v>63</v>
      </c>
      <c r="K15" s="47">
        <v>-7285.5</v>
      </c>
      <c r="L15" s="47" t="s">
        <v>64</v>
      </c>
      <c r="M15" s="48" t="s">
        <v>50</v>
      </c>
      <c r="N15" s="48"/>
      <c r="O15" s="49" t="s">
        <v>51</v>
      </c>
      <c r="P15" s="49" t="s">
        <v>52</v>
      </c>
    </row>
    <row r="16" spans="1:16" ht="12.75" customHeight="1" thickBot="1" x14ac:dyDescent="0.25">
      <c r="A16" s="8" t="str">
        <f t="shared" si="0"/>
        <v> IODE 4.1.169 </v>
      </c>
      <c r="B16" s="3" t="str">
        <f t="shared" si="1"/>
        <v>II</v>
      </c>
      <c r="C16" s="8">
        <f t="shared" si="2"/>
        <v>30664.15</v>
      </c>
      <c r="D16" s="10" t="str">
        <f t="shared" si="3"/>
        <v>vis</v>
      </c>
      <c r="E16" s="46">
        <f>VLOOKUP(C16,Active!C$21:E$973,3,FALSE)</f>
        <v>-7278.517222760398</v>
      </c>
      <c r="F16" s="3" t="s">
        <v>45</v>
      </c>
      <c r="G16" s="10" t="str">
        <f t="shared" si="4"/>
        <v>30664.15</v>
      </c>
      <c r="H16" s="8">
        <f t="shared" si="5"/>
        <v>-7278.5</v>
      </c>
      <c r="I16" s="47" t="s">
        <v>65</v>
      </c>
      <c r="J16" s="48" t="s">
        <v>66</v>
      </c>
      <c r="K16" s="47">
        <v>-7278.5</v>
      </c>
      <c r="L16" s="47" t="s">
        <v>67</v>
      </c>
      <c r="M16" s="48" t="s">
        <v>50</v>
      </c>
      <c r="N16" s="48"/>
      <c r="O16" s="49" t="s">
        <v>51</v>
      </c>
      <c r="P16" s="49" t="s">
        <v>52</v>
      </c>
    </row>
    <row r="17" spans="1:16" ht="12.75" customHeight="1" thickBot="1" x14ac:dyDescent="0.25">
      <c r="A17" s="8" t="str">
        <f t="shared" si="0"/>
        <v> IODE 4.1.169 </v>
      </c>
      <c r="B17" s="3" t="str">
        <f t="shared" si="1"/>
        <v>I</v>
      </c>
      <c r="C17" s="8">
        <f t="shared" si="2"/>
        <v>30671.360000000001</v>
      </c>
      <c r="D17" s="10" t="str">
        <f t="shared" si="3"/>
        <v>vis</v>
      </c>
      <c r="E17" s="46">
        <f>VLOOKUP(C17,Active!C$21:E$973,3,FALSE)</f>
        <v>-7276.0807298962136</v>
      </c>
      <c r="F17" s="3" t="s">
        <v>45</v>
      </c>
      <c r="G17" s="10" t="str">
        <f t="shared" si="4"/>
        <v>30671.36</v>
      </c>
      <c r="H17" s="8">
        <f t="shared" si="5"/>
        <v>-7276</v>
      </c>
      <c r="I17" s="47" t="s">
        <v>68</v>
      </c>
      <c r="J17" s="48" t="s">
        <v>69</v>
      </c>
      <c r="K17" s="47">
        <v>-7276</v>
      </c>
      <c r="L17" s="47" t="s">
        <v>70</v>
      </c>
      <c r="M17" s="48" t="s">
        <v>50</v>
      </c>
      <c r="N17" s="48"/>
      <c r="O17" s="49" t="s">
        <v>51</v>
      </c>
      <c r="P17" s="49" t="s">
        <v>52</v>
      </c>
    </row>
    <row r="18" spans="1:16" ht="12.75" customHeight="1" thickBot="1" x14ac:dyDescent="0.25">
      <c r="A18" s="8" t="str">
        <f t="shared" si="0"/>
        <v> IODE 4.1.169 </v>
      </c>
      <c r="B18" s="3" t="str">
        <f t="shared" si="1"/>
        <v>II</v>
      </c>
      <c r="C18" s="8">
        <f t="shared" si="2"/>
        <v>30696.16</v>
      </c>
      <c r="D18" s="10" t="str">
        <f t="shared" si="3"/>
        <v>vis</v>
      </c>
      <c r="E18" s="46">
        <f>VLOOKUP(C18,Active!C$21:E$973,3,FALSE)</f>
        <v>-7267.7000054812643</v>
      </c>
      <c r="F18" s="3" t="s">
        <v>45</v>
      </c>
      <c r="G18" s="10" t="str">
        <f t="shared" si="4"/>
        <v>30696.16</v>
      </c>
      <c r="H18" s="8">
        <f t="shared" si="5"/>
        <v>-7267.5</v>
      </c>
      <c r="I18" s="47" t="s">
        <v>71</v>
      </c>
      <c r="J18" s="48" t="s">
        <v>72</v>
      </c>
      <c r="K18" s="47">
        <v>-7267.5</v>
      </c>
      <c r="L18" s="47" t="s">
        <v>73</v>
      </c>
      <c r="M18" s="48" t="s">
        <v>50</v>
      </c>
      <c r="N18" s="48"/>
      <c r="O18" s="49" t="s">
        <v>51</v>
      </c>
      <c r="P18" s="49" t="s">
        <v>52</v>
      </c>
    </row>
    <row r="19" spans="1:16" ht="12.75" customHeight="1" thickBot="1" x14ac:dyDescent="0.25">
      <c r="A19" s="8" t="str">
        <f t="shared" si="0"/>
        <v> IODE 4.1.169 </v>
      </c>
      <c r="B19" s="3" t="str">
        <f t="shared" si="1"/>
        <v>II</v>
      </c>
      <c r="C19" s="8">
        <f t="shared" si="2"/>
        <v>30906.33</v>
      </c>
      <c r="D19" s="10" t="str">
        <f t="shared" si="3"/>
        <v>vis</v>
      </c>
      <c r="E19" s="46">
        <f>VLOOKUP(C19,Active!C$21:E$973,3,FALSE)</f>
        <v>-7196.6767453889288</v>
      </c>
      <c r="F19" s="3" t="s">
        <v>45</v>
      </c>
      <c r="G19" s="10" t="str">
        <f t="shared" si="4"/>
        <v>30906.33</v>
      </c>
      <c r="H19" s="8">
        <f t="shared" si="5"/>
        <v>-7196.5</v>
      </c>
      <c r="I19" s="47" t="s">
        <v>74</v>
      </c>
      <c r="J19" s="48" t="s">
        <v>75</v>
      </c>
      <c r="K19" s="47">
        <v>-7196.5</v>
      </c>
      <c r="L19" s="47" t="s">
        <v>76</v>
      </c>
      <c r="M19" s="48" t="s">
        <v>50</v>
      </c>
      <c r="N19" s="48"/>
      <c r="O19" s="49" t="s">
        <v>51</v>
      </c>
      <c r="P19" s="49" t="s">
        <v>52</v>
      </c>
    </row>
    <row r="20" spans="1:16" ht="12.75" customHeight="1" thickBot="1" x14ac:dyDescent="0.25">
      <c r="A20" s="8" t="str">
        <f t="shared" si="0"/>
        <v> IODE 4.1.169 </v>
      </c>
      <c r="B20" s="3" t="str">
        <f t="shared" si="1"/>
        <v>I</v>
      </c>
      <c r="C20" s="8">
        <f t="shared" si="2"/>
        <v>30908.38</v>
      </c>
      <c r="D20" s="10" t="str">
        <f t="shared" si="3"/>
        <v>vis</v>
      </c>
      <c r="E20" s="46">
        <f>VLOOKUP(C20,Active!C$21:E$973,3,FALSE)</f>
        <v>-7195.9839838949511</v>
      </c>
      <c r="F20" s="3" t="s">
        <v>45</v>
      </c>
      <c r="G20" s="10" t="str">
        <f t="shared" si="4"/>
        <v>30908.38</v>
      </c>
      <c r="H20" s="8">
        <f t="shared" si="5"/>
        <v>-7196</v>
      </c>
      <c r="I20" s="47" t="s">
        <v>77</v>
      </c>
      <c r="J20" s="48" t="s">
        <v>78</v>
      </c>
      <c r="K20" s="47">
        <v>-7196</v>
      </c>
      <c r="L20" s="47" t="s">
        <v>79</v>
      </c>
      <c r="M20" s="48" t="s">
        <v>50</v>
      </c>
      <c r="N20" s="48"/>
      <c r="O20" s="49" t="s">
        <v>51</v>
      </c>
      <c r="P20" s="49" t="s">
        <v>52</v>
      </c>
    </row>
    <row r="21" spans="1:16" ht="12.75" customHeight="1" thickBot="1" x14ac:dyDescent="0.25">
      <c r="A21" s="8" t="str">
        <f t="shared" si="0"/>
        <v> IODE 4.1.169 </v>
      </c>
      <c r="B21" s="3" t="str">
        <f t="shared" si="1"/>
        <v>II</v>
      </c>
      <c r="C21" s="8">
        <f t="shared" si="2"/>
        <v>30915.38</v>
      </c>
      <c r="D21" s="10" t="str">
        <f t="shared" si="3"/>
        <v>vis</v>
      </c>
      <c r="E21" s="46">
        <f>VLOOKUP(C21,Active!C$21:E$973,3,FALSE)</f>
        <v>-7193.6184568423441</v>
      </c>
      <c r="F21" s="3" t="s">
        <v>45</v>
      </c>
      <c r="G21" s="10" t="str">
        <f t="shared" si="4"/>
        <v>30915.38</v>
      </c>
      <c r="H21" s="8">
        <f t="shared" si="5"/>
        <v>-7193.5</v>
      </c>
      <c r="I21" s="47" t="s">
        <v>80</v>
      </c>
      <c r="J21" s="48" t="s">
        <v>81</v>
      </c>
      <c r="K21" s="47">
        <v>-7193.5</v>
      </c>
      <c r="L21" s="47" t="s">
        <v>82</v>
      </c>
      <c r="M21" s="48" t="s">
        <v>50</v>
      </c>
      <c r="N21" s="48"/>
      <c r="O21" s="49" t="s">
        <v>51</v>
      </c>
      <c r="P21" s="49" t="s">
        <v>52</v>
      </c>
    </row>
    <row r="22" spans="1:16" ht="12.75" customHeight="1" thickBot="1" x14ac:dyDescent="0.25">
      <c r="A22" s="8" t="str">
        <f t="shared" si="0"/>
        <v> IODE 4.1.169 </v>
      </c>
      <c r="B22" s="3" t="str">
        <f t="shared" si="1"/>
        <v>II</v>
      </c>
      <c r="C22" s="8">
        <f t="shared" si="2"/>
        <v>30968.33</v>
      </c>
      <c r="D22" s="10" t="str">
        <f t="shared" si="3"/>
        <v>vis</v>
      </c>
      <c r="E22" s="46">
        <f>VLOOKUP(C22,Active!C$21:E$973,3,FALSE)</f>
        <v>-7175.724934351555</v>
      </c>
      <c r="F22" s="3" t="s">
        <v>45</v>
      </c>
      <c r="G22" s="10" t="str">
        <f t="shared" si="4"/>
        <v>30968.33</v>
      </c>
      <c r="H22" s="8">
        <f t="shared" si="5"/>
        <v>-7175.5</v>
      </c>
      <c r="I22" s="47" t="s">
        <v>83</v>
      </c>
      <c r="J22" s="48" t="s">
        <v>84</v>
      </c>
      <c r="K22" s="47">
        <v>-7175.5</v>
      </c>
      <c r="L22" s="47" t="s">
        <v>85</v>
      </c>
      <c r="M22" s="48" t="s">
        <v>50</v>
      </c>
      <c r="N22" s="48"/>
      <c r="O22" s="49" t="s">
        <v>51</v>
      </c>
      <c r="P22" s="49" t="s">
        <v>52</v>
      </c>
    </row>
    <row r="23" spans="1:16" ht="12.75" customHeight="1" thickBot="1" x14ac:dyDescent="0.25">
      <c r="A23" s="8" t="str">
        <f t="shared" si="0"/>
        <v> IODE 4.1.169 </v>
      </c>
      <c r="B23" s="3" t="str">
        <f t="shared" si="1"/>
        <v>II</v>
      </c>
      <c r="C23" s="8">
        <f t="shared" si="2"/>
        <v>30971.25</v>
      </c>
      <c r="D23" s="10" t="str">
        <f t="shared" si="3"/>
        <v>vis</v>
      </c>
      <c r="E23" s="46">
        <f>VLOOKUP(C23,Active!C$21:E$973,3,FALSE)</f>
        <v>-7174.7381716381824</v>
      </c>
      <c r="F23" s="3" t="s">
        <v>45</v>
      </c>
      <c r="G23" s="10" t="str">
        <f t="shared" si="4"/>
        <v>30971.25</v>
      </c>
      <c r="H23" s="8">
        <f t="shared" si="5"/>
        <v>-7174.5</v>
      </c>
      <c r="I23" s="47" t="s">
        <v>86</v>
      </c>
      <c r="J23" s="48" t="s">
        <v>87</v>
      </c>
      <c r="K23" s="47">
        <v>-7174.5</v>
      </c>
      <c r="L23" s="47" t="s">
        <v>88</v>
      </c>
      <c r="M23" s="48" t="s">
        <v>50</v>
      </c>
      <c r="N23" s="48"/>
      <c r="O23" s="49" t="s">
        <v>51</v>
      </c>
      <c r="P23" s="49" t="s">
        <v>52</v>
      </c>
    </row>
    <row r="24" spans="1:16" ht="12.75" customHeight="1" thickBot="1" x14ac:dyDescent="0.25">
      <c r="A24" s="8" t="str">
        <f t="shared" si="0"/>
        <v> IODE 4.1.169 </v>
      </c>
      <c r="B24" s="3" t="str">
        <f t="shared" si="1"/>
        <v>II</v>
      </c>
      <c r="C24" s="8">
        <f t="shared" si="2"/>
        <v>30992.35</v>
      </c>
      <c r="D24" s="10" t="str">
        <f t="shared" si="3"/>
        <v>vis</v>
      </c>
      <c r="E24" s="46">
        <f>VLOOKUP(C24,Active!C$21:E$973,3,FALSE)</f>
        <v>-7167.6077972367539</v>
      </c>
      <c r="F24" s="3" t="s">
        <v>45</v>
      </c>
      <c r="G24" s="10" t="str">
        <f t="shared" si="4"/>
        <v>30992.35</v>
      </c>
      <c r="H24" s="8">
        <f t="shared" si="5"/>
        <v>-7167.5</v>
      </c>
      <c r="I24" s="47" t="s">
        <v>89</v>
      </c>
      <c r="J24" s="48" t="s">
        <v>90</v>
      </c>
      <c r="K24" s="47">
        <v>-7167.5</v>
      </c>
      <c r="L24" s="47" t="s">
        <v>91</v>
      </c>
      <c r="M24" s="48" t="s">
        <v>50</v>
      </c>
      <c r="N24" s="48"/>
      <c r="O24" s="49" t="s">
        <v>51</v>
      </c>
      <c r="P24" s="49" t="s">
        <v>52</v>
      </c>
    </row>
    <row r="25" spans="1:16" ht="12.75" customHeight="1" thickBot="1" x14ac:dyDescent="0.25">
      <c r="A25" s="8" t="str">
        <f t="shared" si="0"/>
        <v> IODE 4.1.169 </v>
      </c>
      <c r="B25" s="3" t="str">
        <f t="shared" si="1"/>
        <v>II</v>
      </c>
      <c r="C25" s="8">
        <f t="shared" si="2"/>
        <v>31001.18</v>
      </c>
      <c r="D25" s="10" t="str">
        <f t="shared" si="3"/>
        <v>vis</v>
      </c>
      <c r="E25" s="46">
        <f>VLOOKUP(C25,Active!C$21:E$973,3,FALSE)</f>
        <v>-7164.6238538261086</v>
      </c>
      <c r="F25" s="3" t="s">
        <v>45</v>
      </c>
      <c r="G25" s="10" t="str">
        <f t="shared" si="4"/>
        <v>31001.18</v>
      </c>
      <c r="H25" s="8">
        <f t="shared" si="5"/>
        <v>-7164.5</v>
      </c>
      <c r="I25" s="47" t="s">
        <v>92</v>
      </c>
      <c r="J25" s="48" t="s">
        <v>93</v>
      </c>
      <c r="K25" s="47">
        <v>-7164.5</v>
      </c>
      <c r="L25" s="47" t="s">
        <v>94</v>
      </c>
      <c r="M25" s="48" t="s">
        <v>50</v>
      </c>
      <c r="N25" s="48"/>
      <c r="O25" s="49" t="s">
        <v>51</v>
      </c>
      <c r="P25" s="49" t="s">
        <v>52</v>
      </c>
    </row>
    <row r="26" spans="1:16" ht="12.75" customHeight="1" thickBot="1" x14ac:dyDescent="0.25">
      <c r="A26" s="8" t="str">
        <f t="shared" si="0"/>
        <v> IODE 4.1.169 </v>
      </c>
      <c r="B26" s="3" t="str">
        <f t="shared" si="1"/>
        <v>I</v>
      </c>
      <c r="C26" s="8">
        <f t="shared" si="2"/>
        <v>31023.23</v>
      </c>
      <c r="D26" s="10" t="str">
        <f t="shared" si="3"/>
        <v>vis</v>
      </c>
      <c r="E26" s="46">
        <f>VLOOKUP(C26,Active!C$21:E$973,3,FALSE)</f>
        <v>-7157.1724436103977</v>
      </c>
      <c r="F26" s="3" t="s">
        <v>45</v>
      </c>
      <c r="G26" s="10" t="str">
        <f t="shared" si="4"/>
        <v>31023.23</v>
      </c>
      <c r="H26" s="8">
        <f t="shared" si="5"/>
        <v>-7157</v>
      </c>
      <c r="I26" s="47" t="s">
        <v>95</v>
      </c>
      <c r="J26" s="48" t="s">
        <v>96</v>
      </c>
      <c r="K26" s="47">
        <v>-7157</v>
      </c>
      <c r="L26" s="47" t="s">
        <v>97</v>
      </c>
      <c r="M26" s="48" t="s">
        <v>50</v>
      </c>
      <c r="N26" s="48"/>
      <c r="O26" s="49" t="s">
        <v>51</v>
      </c>
      <c r="P26" s="49" t="s">
        <v>52</v>
      </c>
    </row>
    <row r="27" spans="1:16" ht="12.75" customHeight="1" thickBot="1" x14ac:dyDescent="0.25">
      <c r="A27" s="8" t="str">
        <f t="shared" si="0"/>
        <v> IODE 4.1.169 </v>
      </c>
      <c r="B27" s="3" t="str">
        <f t="shared" si="1"/>
        <v>II</v>
      </c>
      <c r="C27" s="8">
        <f t="shared" si="2"/>
        <v>31267.33</v>
      </c>
      <c r="D27" s="10" t="str">
        <f t="shared" si="3"/>
        <v>vis</v>
      </c>
      <c r="E27" s="46">
        <f>VLOOKUP(C27,Active!C$21:E$973,3,FALSE)</f>
        <v>-7074.6831359616408</v>
      </c>
      <c r="F27" s="3" t="s">
        <v>45</v>
      </c>
      <c r="G27" s="10" t="str">
        <f t="shared" si="4"/>
        <v>31267.33</v>
      </c>
      <c r="H27" s="8">
        <f t="shared" si="5"/>
        <v>-7074.5</v>
      </c>
      <c r="I27" s="47" t="s">
        <v>98</v>
      </c>
      <c r="J27" s="48" t="s">
        <v>99</v>
      </c>
      <c r="K27" s="47">
        <v>-7074.5</v>
      </c>
      <c r="L27" s="47" t="s">
        <v>100</v>
      </c>
      <c r="M27" s="48" t="s">
        <v>50</v>
      </c>
      <c r="N27" s="48"/>
      <c r="O27" s="49" t="s">
        <v>51</v>
      </c>
      <c r="P27" s="49" t="s">
        <v>52</v>
      </c>
    </row>
    <row r="28" spans="1:16" ht="12.75" customHeight="1" thickBot="1" x14ac:dyDescent="0.25">
      <c r="A28" s="8" t="str">
        <f t="shared" si="0"/>
        <v> IODE 4.1.169 </v>
      </c>
      <c r="B28" s="3" t="str">
        <f t="shared" si="1"/>
        <v>II</v>
      </c>
      <c r="C28" s="8">
        <f t="shared" si="2"/>
        <v>31270.38</v>
      </c>
      <c r="D28" s="10" t="str">
        <f t="shared" si="3"/>
        <v>vis</v>
      </c>
      <c r="E28" s="46">
        <f>VLOOKUP(C28,Active!C$21:E$973,3,FALSE)</f>
        <v>-7073.6524420315764</v>
      </c>
      <c r="F28" s="3" t="s">
        <v>45</v>
      </c>
      <c r="G28" s="10" t="str">
        <f t="shared" si="4"/>
        <v>31270.38</v>
      </c>
      <c r="H28" s="8">
        <f t="shared" si="5"/>
        <v>-7073.5</v>
      </c>
      <c r="I28" s="47" t="s">
        <v>101</v>
      </c>
      <c r="J28" s="48" t="s">
        <v>102</v>
      </c>
      <c r="K28" s="47">
        <v>-7073.5</v>
      </c>
      <c r="L28" s="47" t="s">
        <v>103</v>
      </c>
      <c r="M28" s="48" t="s">
        <v>50</v>
      </c>
      <c r="N28" s="48"/>
      <c r="O28" s="49" t="s">
        <v>51</v>
      </c>
      <c r="P28" s="49" t="s">
        <v>52</v>
      </c>
    </row>
    <row r="29" spans="1:16" ht="12.75" customHeight="1" thickBot="1" x14ac:dyDescent="0.25">
      <c r="A29" s="8" t="str">
        <f t="shared" si="0"/>
        <v> IODE 4.1.169 </v>
      </c>
      <c r="B29" s="3" t="str">
        <f t="shared" si="1"/>
        <v>II</v>
      </c>
      <c r="C29" s="8">
        <f t="shared" si="2"/>
        <v>31273.35</v>
      </c>
      <c r="D29" s="10" t="str">
        <f t="shared" si="3"/>
        <v>vis</v>
      </c>
      <c r="E29" s="46">
        <f>VLOOKUP(C29,Active!C$21:E$973,3,FALSE)</f>
        <v>-7072.6487826964003</v>
      </c>
      <c r="F29" s="3" t="s">
        <v>45</v>
      </c>
      <c r="G29" s="10" t="str">
        <f t="shared" si="4"/>
        <v>31273.35</v>
      </c>
      <c r="H29" s="8">
        <f t="shared" si="5"/>
        <v>-7072.5</v>
      </c>
      <c r="I29" s="47" t="s">
        <v>104</v>
      </c>
      <c r="J29" s="48" t="s">
        <v>105</v>
      </c>
      <c r="K29" s="47">
        <v>-7072.5</v>
      </c>
      <c r="L29" s="47" t="s">
        <v>106</v>
      </c>
      <c r="M29" s="48" t="s">
        <v>50</v>
      </c>
      <c r="N29" s="48"/>
      <c r="O29" s="49" t="s">
        <v>51</v>
      </c>
      <c r="P29" s="49" t="s">
        <v>52</v>
      </c>
    </row>
    <row r="30" spans="1:16" ht="12.75" customHeight="1" thickBot="1" x14ac:dyDescent="0.25">
      <c r="A30" s="8" t="str">
        <f t="shared" si="0"/>
        <v> IODE 4.1.169 </v>
      </c>
      <c r="B30" s="3" t="str">
        <f t="shared" si="1"/>
        <v>II</v>
      </c>
      <c r="C30" s="8">
        <f t="shared" si="2"/>
        <v>31282.29</v>
      </c>
      <c r="D30" s="10" t="str">
        <f t="shared" si="3"/>
        <v>vis</v>
      </c>
      <c r="E30" s="46">
        <f>VLOOKUP(C30,Active!C$21:E$973,3,FALSE)</f>
        <v>-7069.6276667177845</v>
      </c>
      <c r="F30" s="3" t="s">
        <v>45</v>
      </c>
      <c r="G30" s="10" t="str">
        <f t="shared" si="4"/>
        <v>31282.29</v>
      </c>
      <c r="H30" s="8">
        <f t="shared" si="5"/>
        <v>-7069.5</v>
      </c>
      <c r="I30" s="47" t="s">
        <v>107</v>
      </c>
      <c r="J30" s="48" t="s">
        <v>108</v>
      </c>
      <c r="K30" s="47">
        <v>-7069.5</v>
      </c>
      <c r="L30" s="47" t="s">
        <v>109</v>
      </c>
      <c r="M30" s="48" t="s">
        <v>50</v>
      </c>
      <c r="N30" s="48"/>
      <c r="O30" s="49" t="s">
        <v>51</v>
      </c>
      <c r="P30" s="49" t="s">
        <v>52</v>
      </c>
    </row>
    <row r="31" spans="1:16" ht="12.75" customHeight="1" thickBot="1" x14ac:dyDescent="0.25">
      <c r="A31" s="8" t="str">
        <f t="shared" si="0"/>
        <v> IODE 4.1.169 </v>
      </c>
      <c r="B31" s="3" t="str">
        <f t="shared" si="1"/>
        <v>II</v>
      </c>
      <c r="C31" s="8">
        <f t="shared" si="2"/>
        <v>31288.29</v>
      </c>
      <c r="D31" s="10" t="str">
        <f t="shared" si="3"/>
        <v>vis</v>
      </c>
      <c r="E31" s="46">
        <f>VLOOKUP(C31,Active!C$21:E$973,3,FALSE)</f>
        <v>-7067.6000721012642</v>
      </c>
      <c r="F31" s="3" t="s">
        <v>45</v>
      </c>
      <c r="G31" s="10" t="str">
        <f t="shared" si="4"/>
        <v>31288.29</v>
      </c>
      <c r="H31" s="8">
        <f t="shared" si="5"/>
        <v>-7067.5</v>
      </c>
      <c r="I31" s="47" t="s">
        <v>110</v>
      </c>
      <c r="J31" s="48" t="s">
        <v>111</v>
      </c>
      <c r="K31" s="47">
        <v>-7067.5</v>
      </c>
      <c r="L31" s="47" t="s">
        <v>49</v>
      </c>
      <c r="M31" s="48" t="s">
        <v>50</v>
      </c>
      <c r="N31" s="48"/>
      <c r="O31" s="49" t="s">
        <v>51</v>
      </c>
      <c r="P31" s="49" t="s">
        <v>52</v>
      </c>
    </row>
    <row r="32" spans="1:16" ht="12.75" customHeight="1" thickBot="1" x14ac:dyDescent="0.25">
      <c r="A32" s="8" t="str">
        <f t="shared" si="0"/>
        <v> IODE 4.1.169 </v>
      </c>
      <c r="B32" s="3" t="str">
        <f t="shared" si="1"/>
        <v>I</v>
      </c>
      <c r="C32" s="8">
        <f t="shared" si="2"/>
        <v>31313.29</v>
      </c>
      <c r="D32" s="10" t="str">
        <f t="shared" si="3"/>
        <v>vis</v>
      </c>
      <c r="E32" s="46">
        <f>VLOOKUP(C32,Active!C$21:E$973,3,FALSE)</f>
        <v>-7059.1517611990976</v>
      </c>
      <c r="F32" s="3" t="s">
        <v>45</v>
      </c>
      <c r="G32" s="10" t="str">
        <f t="shared" si="4"/>
        <v>31313.29</v>
      </c>
      <c r="H32" s="8">
        <f t="shared" si="5"/>
        <v>-7059</v>
      </c>
      <c r="I32" s="47" t="s">
        <v>112</v>
      </c>
      <c r="J32" s="48" t="s">
        <v>113</v>
      </c>
      <c r="K32" s="47">
        <v>-7059</v>
      </c>
      <c r="L32" s="47" t="s">
        <v>103</v>
      </c>
      <c r="M32" s="48" t="s">
        <v>50</v>
      </c>
      <c r="N32" s="48"/>
      <c r="O32" s="49" t="s">
        <v>51</v>
      </c>
      <c r="P32" s="49" t="s">
        <v>52</v>
      </c>
    </row>
    <row r="33" spans="1:16" ht="12.75" customHeight="1" thickBot="1" x14ac:dyDescent="0.25">
      <c r="A33" s="8" t="str">
        <f t="shared" si="0"/>
        <v> IODE 4.1.169 </v>
      </c>
      <c r="B33" s="3" t="str">
        <f t="shared" si="1"/>
        <v>I</v>
      </c>
      <c r="C33" s="8">
        <f t="shared" si="2"/>
        <v>31322.27</v>
      </c>
      <c r="D33" s="10" t="str">
        <f t="shared" si="3"/>
        <v>vis</v>
      </c>
      <c r="E33" s="46">
        <f>VLOOKUP(C33,Active!C$21:E$973,3,FALSE)</f>
        <v>-7056.1171279230393</v>
      </c>
      <c r="F33" s="3" t="s">
        <v>45</v>
      </c>
      <c r="G33" s="10" t="str">
        <f t="shared" si="4"/>
        <v>31322.27</v>
      </c>
      <c r="H33" s="8">
        <f t="shared" si="5"/>
        <v>-7056</v>
      </c>
      <c r="I33" s="47" t="s">
        <v>114</v>
      </c>
      <c r="J33" s="48" t="s">
        <v>115</v>
      </c>
      <c r="K33" s="47">
        <v>-7056</v>
      </c>
      <c r="L33" s="47" t="s">
        <v>82</v>
      </c>
      <c r="M33" s="48" t="s">
        <v>50</v>
      </c>
      <c r="N33" s="48"/>
      <c r="O33" s="49" t="s">
        <v>51</v>
      </c>
      <c r="P33" s="49" t="s">
        <v>52</v>
      </c>
    </row>
    <row r="34" spans="1:16" ht="12.75" customHeight="1" thickBot="1" x14ac:dyDescent="0.25">
      <c r="A34" s="8" t="str">
        <f t="shared" si="0"/>
        <v> IODE 4.1.169 </v>
      </c>
      <c r="B34" s="3" t="str">
        <f t="shared" si="1"/>
        <v>I</v>
      </c>
      <c r="C34" s="8">
        <f t="shared" si="2"/>
        <v>31328.17</v>
      </c>
      <c r="D34" s="10" t="str">
        <f t="shared" si="3"/>
        <v>vis</v>
      </c>
      <c r="E34" s="46">
        <f>VLOOKUP(C34,Active!C$21:E$973,3,FALSE)</f>
        <v>-7054.1233265501287</v>
      </c>
      <c r="F34" s="3" t="s">
        <v>45</v>
      </c>
      <c r="G34" s="10" t="str">
        <f t="shared" si="4"/>
        <v>31328.17</v>
      </c>
      <c r="H34" s="8">
        <f t="shared" si="5"/>
        <v>-7054</v>
      </c>
      <c r="I34" s="47" t="s">
        <v>116</v>
      </c>
      <c r="J34" s="48" t="s">
        <v>117</v>
      </c>
      <c r="K34" s="47">
        <v>-7054</v>
      </c>
      <c r="L34" s="47" t="s">
        <v>118</v>
      </c>
      <c r="M34" s="48" t="s">
        <v>50</v>
      </c>
      <c r="N34" s="48"/>
      <c r="O34" s="49" t="s">
        <v>51</v>
      </c>
      <c r="P34" s="49" t="s">
        <v>52</v>
      </c>
    </row>
    <row r="35" spans="1:16" ht="12.75" customHeight="1" thickBot="1" x14ac:dyDescent="0.25">
      <c r="A35" s="8" t="str">
        <f t="shared" si="0"/>
        <v> IODE 4.1.169 </v>
      </c>
      <c r="B35" s="3" t="str">
        <f t="shared" si="1"/>
        <v>II</v>
      </c>
      <c r="C35" s="8">
        <f t="shared" si="2"/>
        <v>31344.29</v>
      </c>
      <c r="D35" s="10" t="str">
        <f t="shared" si="3"/>
        <v>vis</v>
      </c>
      <c r="E35" s="46">
        <f>VLOOKUP(C35,Active!C$21:E$973,3,FALSE)</f>
        <v>-7048.6758556804107</v>
      </c>
      <c r="F35" s="3" t="s">
        <v>45</v>
      </c>
      <c r="G35" s="10" t="str">
        <f t="shared" si="4"/>
        <v>31344.29</v>
      </c>
      <c r="H35" s="8">
        <f t="shared" si="5"/>
        <v>-7048.5</v>
      </c>
      <c r="I35" s="47" t="s">
        <v>119</v>
      </c>
      <c r="J35" s="48" t="s">
        <v>120</v>
      </c>
      <c r="K35" s="47">
        <v>-7048.5</v>
      </c>
      <c r="L35" s="47" t="s">
        <v>76</v>
      </c>
      <c r="M35" s="48" t="s">
        <v>50</v>
      </c>
      <c r="N35" s="48"/>
      <c r="O35" s="49" t="s">
        <v>51</v>
      </c>
      <c r="P35" s="49" t="s">
        <v>52</v>
      </c>
    </row>
    <row r="36" spans="1:16" ht="12.75" customHeight="1" thickBot="1" x14ac:dyDescent="0.25">
      <c r="A36" s="8" t="str">
        <f t="shared" si="0"/>
        <v> IODE 4.1.169 </v>
      </c>
      <c r="B36" s="3" t="str">
        <f t="shared" si="1"/>
        <v>II</v>
      </c>
      <c r="C36" s="8">
        <f t="shared" si="2"/>
        <v>31353.21</v>
      </c>
      <c r="D36" s="10" t="str">
        <f t="shared" si="3"/>
        <v>vis</v>
      </c>
      <c r="E36" s="46">
        <f>VLOOKUP(C36,Active!C$21:E$973,3,FALSE)</f>
        <v>-7045.6614983505187</v>
      </c>
      <c r="F36" s="3" t="s">
        <v>45</v>
      </c>
      <c r="G36" s="10" t="str">
        <f t="shared" si="4"/>
        <v>31353.21</v>
      </c>
      <c r="H36" s="8">
        <f t="shared" si="5"/>
        <v>-7045.5</v>
      </c>
      <c r="I36" s="47" t="s">
        <v>121</v>
      </c>
      <c r="J36" s="48" t="s">
        <v>122</v>
      </c>
      <c r="K36" s="47">
        <v>-7045.5</v>
      </c>
      <c r="L36" s="47" t="s">
        <v>123</v>
      </c>
      <c r="M36" s="48" t="s">
        <v>50</v>
      </c>
      <c r="N36" s="48"/>
      <c r="O36" s="49" t="s">
        <v>51</v>
      </c>
      <c r="P36" s="49" t="s">
        <v>52</v>
      </c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2024-07-26T05:19:23Z</dcterms:modified>
</cp:coreProperties>
</file>