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502264-5ED8-4DF1-91B3-F264B94F6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8" i="1" l="1"/>
  <c r="F158" i="1"/>
  <c r="G158" i="1" s="1"/>
  <c r="K158" i="1" s="1"/>
  <c r="Q158" i="1"/>
  <c r="F14" i="1"/>
  <c r="F15" i="1" s="1"/>
  <c r="E155" i="1"/>
  <c r="F155" i="1" s="1"/>
  <c r="G155" i="1" s="1"/>
  <c r="K155" i="1" s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E152" i="1"/>
  <c r="F152" i="1" s="1"/>
  <c r="G152" i="1" s="1"/>
  <c r="L152" i="1" s="1"/>
  <c r="Q152" i="1"/>
  <c r="E153" i="1"/>
  <c r="F153" i="1" s="1"/>
  <c r="G153" i="1" s="1"/>
  <c r="L153" i="1" s="1"/>
  <c r="Q153" i="1"/>
  <c r="E154" i="1"/>
  <c r="F154" i="1"/>
  <c r="G154" i="1" s="1"/>
  <c r="L154" i="1" s="1"/>
  <c r="Q154" i="1"/>
  <c r="Q149" i="1"/>
  <c r="Q151" i="1"/>
  <c r="Q148" i="1"/>
  <c r="Q150" i="1"/>
  <c r="Q144" i="1"/>
  <c r="Q146" i="1"/>
  <c r="Q147" i="1"/>
  <c r="Q145" i="1"/>
  <c r="Q141" i="1"/>
  <c r="Q142" i="1"/>
  <c r="Q143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67" i="1"/>
  <c r="Q75" i="1"/>
  <c r="Q93" i="1"/>
  <c r="Q97" i="1"/>
  <c r="Q108" i="1"/>
  <c r="Q109" i="1"/>
  <c r="Q116" i="1"/>
  <c r="Q117" i="1"/>
  <c r="Q118" i="1"/>
  <c r="Q119" i="1"/>
  <c r="Q120" i="1"/>
  <c r="Q121" i="1"/>
  <c r="Q122" i="1"/>
  <c r="Q124" i="1"/>
  <c r="Q125" i="1"/>
  <c r="Q126" i="1"/>
  <c r="Q127" i="1"/>
  <c r="Q128" i="1"/>
  <c r="Q130" i="1"/>
  <c r="Q137" i="1"/>
  <c r="G80" i="2"/>
  <c r="C80" i="2"/>
  <c r="G79" i="2"/>
  <c r="C79" i="2"/>
  <c r="G128" i="2"/>
  <c r="C128" i="2"/>
  <c r="G78" i="2"/>
  <c r="C78" i="2"/>
  <c r="G77" i="2"/>
  <c r="C77" i="2"/>
  <c r="G76" i="2"/>
  <c r="C76" i="2"/>
  <c r="G75" i="2"/>
  <c r="C75" i="2"/>
  <c r="G74" i="2"/>
  <c r="C74" i="2"/>
  <c r="G73" i="2"/>
  <c r="C73" i="2"/>
  <c r="G127" i="2"/>
  <c r="C127" i="2"/>
  <c r="G72" i="2"/>
  <c r="C72" i="2"/>
  <c r="G126" i="2"/>
  <c r="C126" i="2"/>
  <c r="G125" i="2"/>
  <c r="C125" i="2"/>
  <c r="G124" i="2"/>
  <c r="C124" i="2"/>
  <c r="G123" i="2"/>
  <c r="C123" i="2"/>
  <c r="G122" i="2"/>
  <c r="C122" i="2"/>
  <c r="G71" i="2"/>
  <c r="C7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70" i="2"/>
  <c r="C70" i="2"/>
  <c r="G69" i="2"/>
  <c r="C69" i="2"/>
  <c r="G68" i="2"/>
  <c r="C68" i="2"/>
  <c r="G67" i="2"/>
  <c r="C67" i="2"/>
  <c r="G66" i="2"/>
  <c r="C66" i="2"/>
  <c r="G114" i="2"/>
  <c r="C114" i="2"/>
  <c r="G113" i="2"/>
  <c r="C113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112" i="2"/>
  <c r="C112" i="2"/>
  <c r="G55" i="2"/>
  <c r="C55" i="2"/>
  <c r="G54" i="2"/>
  <c r="C54" i="2"/>
  <c r="G53" i="2"/>
  <c r="C53" i="2"/>
  <c r="G111" i="2"/>
  <c r="C111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10" i="2"/>
  <c r="C11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109" i="2"/>
  <c r="C10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H80" i="2"/>
  <c r="B80" i="2"/>
  <c r="D80" i="2"/>
  <c r="A80" i="2"/>
  <c r="H79" i="2"/>
  <c r="B79" i="2"/>
  <c r="D79" i="2"/>
  <c r="A79" i="2"/>
  <c r="H128" i="2"/>
  <c r="B128" i="2"/>
  <c r="D128" i="2"/>
  <c r="A128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27" i="2"/>
  <c r="B127" i="2"/>
  <c r="D127" i="2"/>
  <c r="A127" i="2"/>
  <c r="H72" i="2"/>
  <c r="B72" i="2"/>
  <c r="D72" i="2"/>
  <c r="A72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71" i="2"/>
  <c r="B71" i="2"/>
  <c r="D71" i="2"/>
  <c r="A71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14" i="2"/>
  <c r="B114" i="2"/>
  <c r="D114" i="2"/>
  <c r="A114" i="2"/>
  <c r="H113" i="2"/>
  <c r="B113" i="2"/>
  <c r="D113" i="2"/>
  <c r="A113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12" i="2"/>
  <c r="B112" i="2"/>
  <c r="D112" i="2"/>
  <c r="A112" i="2"/>
  <c r="H55" i="2"/>
  <c r="B55" i="2"/>
  <c r="D55" i="2"/>
  <c r="A55" i="2"/>
  <c r="H54" i="2"/>
  <c r="B54" i="2"/>
  <c r="D54" i="2"/>
  <c r="A54" i="2"/>
  <c r="H53" i="2"/>
  <c r="B53" i="2"/>
  <c r="D53" i="2"/>
  <c r="A53" i="2"/>
  <c r="H111" i="2"/>
  <c r="B111" i="2"/>
  <c r="D111" i="2"/>
  <c r="A111" i="2"/>
  <c r="H52" i="2"/>
  <c r="B52" i="2"/>
  <c r="F52" i="2"/>
  <c r="D52" i="2"/>
  <c r="A52" i="2"/>
  <c r="H51" i="2"/>
  <c r="B51" i="2"/>
  <c r="F51" i="2"/>
  <c r="D51" i="2"/>
  <c r="A51" i="2"/>
  <c r="H50" i="2"/>
  <c r="B50" i="2"/>
  <c r="F50" i="2"/>
  <c r="D50" i="2"/>
  <c r="A50" i="2"/>
  <c r="H49" i="2"/>
  <c r="B49" i="2"/>
  <c r="F49" i="2"/>
  <c r="D49" i="2"/>
  <c r="A49" i="2"/>
  <c r="H48" i="2"/>
  <c r="B48" i="2"/>
  <c r="F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10" i="2"/>
  <c r="B110" i="2"/>
  <c r="D110" i="2"/>
  <c r="A11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109" i="2"/>
  <c r="B109" i="2"/>
  <c r="D109" i="2"/>
  <c r="A10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Q138" i="1"/>
  <c r="Q140" i="1"/>
  <c r="Q133" i="1"/>
  <c r="Q136" i="1"/>
  <c r="Q139" i="1"/>
  <c r="Q134" i="1"/>
  <c r="E149" i="1"/>
  <c r="F149" i="1" s="1"/>
  <c r="G149" i="1" s="1"/>
  <c r="K149" i="1" s="1"/>
  <c r="E120" i="1"/>
  <c r="E119" i="2" s="1"/>
  <c r="C17" i="1"/>
  <c r="Q135" i="1"/>
  <c r="Q132" i="1"/>
  <c r="Q131" i="1"/>
  <c r="Q129" i="1"/>
  <c r="Q123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74" i="1"/>
  <c r="Q76" i="1"/>
  <c r="Q77" i="1"/>
  <c r="Q78" i="1"/>
  <c r="Q79" i="1"/>
  <c r="Q80" i="1"/>
  <c r="Q81" i="1"/>
  <c r="Q82" i="1"/>
  <c r="Q84" i="1"/>
  <c r="Q85" i="1"/>
  <c r="Q86" i="1"/>
  <c r="Q87" i="1"/>
  <c r="Q88" i="1"/>
  <c r="Q89" i="1"/>
  <c r="Q90" i="1"/>
  <c r="Q91" i="1"/>
  <c r="Q92" i="1"/>
  <c r="Q94" i="1"/>
  <c r="Q95" i="1"/>
  <c r="Q96" i="1"/>
  <c r="Q98" i="1"/>
  <c r="Q99" i="1"/>
  <c r="Q100" i="1"/>
  <c r="Q101" i="1"/>
  <c r="Q102" i="1"/>
  <c r="Q103" i="1"/>
  <c r="Q104" i="1"/>
  <c r="Q105" i="1"/>
  <c r="Q106" i="1"/>
  <c r="Q107" i="1"/>
  <c r="Q110" i="1"/>
  <c r="Q111" i="1"/>
  <c r="Q112" i="1"/>
  <c r="Q113" i="1"/>
  <c r="Q114" i="1"/>
  <c r="Q115" i="1"/>
  <c r="Q83" i="1"/>
  <c r="E99" i="1"/>
  <c r="F99" i="1" s="1"/>
  <c r="G99" i="1" s="1"/>
  <c r="I99" i="1" s="1"/>
  <c r="E86" i="1"/>
  <c r="E63" i="1"/>
  <c r="F63" i="1" s="1"/>
  <c r="G63" i="1" s="1"/>
  <c r="I63" i="1" s="1"/>
  <c r="E50" i="1"/>
  <c r="F50" i="1" s="1"/>
  <c r="G50" i="1" s="1"/>
  <c r="I50" i="1" s="1"/>
  <c r="E87" i="1"/>
  <c r="F87" i="1" s="1"/>
  <c r="G87" i="1" s="1"/>
  <c r="I87" i="1" s="1"/>
  <c r="E122" i="1"/>
  <c r="F122" i="1" s="1"/>
  <c r="G122" i="1" s="1"/>
  <c r="I122" i="1" s="1"/>
  <c r="E67" i="1"/>
  <c r="F67" i="1" s="1"/>
  <c r="G67" i="1" s="1"/>
  <c r="I67" i="1" s="1"/>
  <c r="E29" i="1"/>
  <c r="E89" i="2" s="1"/>
  <c r="E95" i="1"/>
  <c r="E54" i="2" s="1"/>
  <c r="E90" i="1"/>
  <c r="E50" i="2" s="1"/>
  <c r="F90" i="1"/>
  <c r="G90" i="1" s="1"/>
  <c r="I90" i="1" s="1"/>
  <c r="E97" i="1"/>
  <c r="F97" i="1" s="1"/>
  <c r="G97" i="1" s="1"/>
  <c r="I97" i="1" s="1"/>
  <c r="E121" i="2"/>
  <c r="F29" i="1"/>
  <c r="G29" i="1" s="1"/>
  <c r="H29" i="1" s="1"/>
  <c r="F95" i="1"/>
  <c r="G95" i="1" s="1"/>
  <c r="I95" i="1" s="1"/>
  <c r="F86" i="1"/>
  <c r="E46" i="2"/>
  <c r="E68" i="1"/>
  <c r="E29" i="2" s="1"/>
  <c r="E77" i="1"/>
  <c r="F77" i="1" s="1"/>
  <c r="G77" i="1" s="1"/>
  <c r="I77" i="1" s="1"/>
  <c r="E82" i="1"/>
  <c r="F82" i="1" s="1"/>
  <c r="G82" i="1" s="1"/>
  <c r="I82" i="1" s="1"/>
  <c r="E84" i="1"/>
  <c r="E44" i="2" s="1"/>
  <c r="E115" i="1"/>
  <c r="F115" i="1" s="1"/>
  <c r="G115" i="1" s="1"/>
  <c r="I115" i="1" s="1"/>
  <c r="E52" i="1"/>
  <c r="E14" i="2" s="1"/>
  <c r="E144" i="1"/>
  <c r="F144" i="1" s="1"/>
  <c r="G144" i="1" s="1"/>
  <c r="K144" i="1" s="1"/>
  <c r="E131" i="1"/>
  <c r="F131" i="1" s="1"/>
  <c r="G131" i="1" s="1"/>
  <c r="K131" i="1" s="1"/>
  <c r="E21" i="1"/>
  <c r="F21" i="1" s="1"/>
  <c r="G21" i="1" s="1"/>
  <c r="H21" i="1" s="1"/>
  <c r="E109" i="1"/>
  <c r="F109" i="1" s="1"/>
  <c r="G109" i="1" s="1"/>
  <c r="I109" i="1" s="1"/>
  <c r="E57" i="1"/>
  <c r="F57" i="1" s="1"/>
  <c r="G57" i="1" s="1"/>
  <c r="I57" i="1" s="1"/>
  <c r="E81" i="1"/>
  <c r="E51" i="1"/>
  <c r="F51" i="1" s="1"/>
  <c r="G51" i="1" s="1"/>
  <c r="I51" i="1" s="1"/>
  <c r="E47" i="1"/>
  <c r="E107" i="2" s="1"/>
  <c r="E23" i="1"/>
  <c r="E83" i="2" s="1"/>
  <c r="E133" i="1"/>
  <c r="E75" i="2" s="1"/>
  <c r="E72" i="1"/>
  <c r="F72" i="1" s="1"/>
  <c r="G72" i="1" s="1"/>
  <c r="I72" i="1" s="1"/>
  <c r="E141" i="1"/>
  <c r="F141" i="1"/>
  <c r="G141" i="1" s="1"/>
  <c r="K141" i="1" s="1"/>
  <c r="E80" i="1"/>
  <c r="F80" i="1" s="1"/>
  <c r="G80" i="1" s="1"/>
  <c r="I80" i="1" s="1"/>
  <c r="E98" i="1"/>
  <c r="E56" i="2" s="1"/>
  <c r="E38" i="1"/>
  <c r="E119" i="1"/>
  <c r="F119" i="1" s="1"/>
  <c r="G119" i="1" s="1"/>
  <c r="I119" i="1" s="1"/>
  <c r="E66" i="1"/>
  <c r="E28" i="2" s="1"/>
  <c r="E146" i="1"/>
  <c r="F146" i="1" s="1"/>
  <c r="G146" i="1" s="1"/>
  <c r="K146" i="1" s="1"/>
  <c r="E145" i="1"/>
  <c r="F145" i="1" s="1"/>
  <c r="G145" i="1" s="1"/>
  <c r="K145" i="1" s="1"/>
  <c r="E143" i="1"/>
  <c r="F143" i="1" s="1"/>
  <c r="G143" i="1" s="1"/>
  <c r="K143" i="1" s="1"/>
  <c r="E113" i="1"/>
  <c r="E68" i="2" s="1"/>
  <c r="E114" i="1"/>
  <c r="F114" i="1" s="1"/>
  <c r="G114" i="1" s="1"/>
  <c r="I114" i="1" s="1"/>
  <c r="E56" i="1"/>
  <c r="E18" i="2" s="1"/>
  <c r="E128" i="1"/>
  <c r="F128" i="1" s="1"/>
  <c r="G128" i="1" s="1"/>
  <c r="K128" i="1" s="1"/>
  <c r="E88" i="1"/>
  <c r="F88" i="1" s="1"/>
  <c r="G88" i="1" s="1"/>
  <c r="I88" i="1" s="1"/>
  <c r="E147" i="1"/>
  <c r="F147" i="1" s="1"/>
  <c r="G147" i="1" s="1"/>
  <c r="K147" i="1" s="1"/>
  <c r="E142" i="1"/>
  <c r="F142" i="1" s="1"/>
  <c r="G142" i="1" s="1"/>
  <c r="K142" i="1" s="1"/>
  <c r="E30" i="1"/>
  <c r="E90" i="2" s="1"/>
  <c r="E46" i="1"/>
  <c r="F46" i="1" s="1"/>
  <c r="G46" i="1" s="1"/>
  <c r="I46" i="1" s="1"/>
  <c r="E74" i="1"/>
  <c r="F74" i="1"/>
  <c r="G74" i="1" s="1"/>
  <c r="I74" i="1" s="1"/>
  <c r="E73" i="2"/>
  <c r="E124" i="1"/>
  <c r="F124" i="1" s="1"/>
  <c r="G124" i="1" s="1"/>
  <c r="I124" i="1" s="1"/>
  <c r="E40" i="1"/>
  <c r="F40" i="1" s="1"/>
  <c r="G40" i="1" s="1"/>
  <c r="H40" i="1" s="1"/>
  <c r="E60" i="1"/>
  <c r="E22" i="2" s="1"/>
  <c r="E127" i="1"/>
  <c r="F127" i="1" s="1"/>
  <c r="G127" i="1" s="1"/>
  <c r="K127" i="1" s="1"/>
  <c r="E69" i="1"/>
  <c r="F69" i="1" s="1"/>
  <c r="G69" i="1" s="1"/>
  <c r="I69" i="1" s="1"/>
  <c r="E91" i="1"/>
  <c r="F91" i="1" s="1"/>
  <c r="G91" i="1" s="1"/>
  <c r="I91" i="1" s="1"/>
  <c r="E106" i="1"/>
  <c r="E64" i="2" s="1"/>
  <c r="E31" i="1"/>
  <c r="E91" i="2" s="1"/>
  <c r="E125" i="1"/>
  <c r="E71" i="1"/>
  <c r="F71" i="1" s="1"/>
  <c r="G71" i="1" s="1"/>
  <c r="I71" i="1" s="1"/>
  <c r="G86" i="1"/>
  <c r="I86" i="1" s="1"/>
  <c r="E103" i="1"/>
  <c r="F103" i="1" s="1"/>
  <c r="G103" i="1" s="1"/>
  <c r="I103" i="1" s="1"/>
  <c r="E58" i="1"/>
  <c r="F58" i="1" s="1"/>
  <c r="G58" i="1" s="1"/>
  <c r="I58" i="1" s="1"/>
  <c r="E42" i="1"/>
  <c r="F42" i="1" s="1"/>
  <c r="G42" i="1" s="1"/>
  <c r="H42" i="1" s="1"/>
  <c r="E24" i="1"/>
  <c r="E84" i="2" s="1"/>
  <c r="E135" i="1"/>
  <c r="F135" i="1" s="1"/>
  <c r="G135" i="1" s="1"/>
  <c r="K135" i="1" s="1"/>
  <c r="E108" i="1"/>
  <c r="F108" i="1" s="1"/>
  <c r="G108" i="1" s="1"/>
  <c r="I108" i="1" s="1"/>
  <c r="E96" i="1"/>
  <c r="F96" i="1" s="1"/>
  <c r="G96" i="1" s="1"/>
  <c r="I96" i="1" s="1"/>
  <c r="E43" i="1"/>
  <c r="E76" i="1"/>
  <c r="F76" i="1" s="1"/>
  <c r="G76" i="1" s="1"/>
  <c r="I76" i="1" s="1"/>
  <c r="E125" i="2"/>
  <c r="E26" i="1"/>
  <c r="F26" i="1" s="1"/>
  <c r="G26" i="1" s="1"/>
  <c r="H26" i="1" s="1"/>
  <c r="E73" i="1"/>
  <c r="E34" i="2" s="1"/>
  <c r="E49" i="1"/>
  <c r="E11" i="2" s="1"/>
  <c r="E35" i="1"/>
  <c r="E93" i="1"/>
  <c r="F93" i="1" s="1"/>
  <c r="G93" i="1" s="1"/>
  <c r="I93" i="1" s="1"/>
  <c r="E130" i="1"/>
  <c r="E127" i="2" s="1"/>
  <c r="E89" i="1"/>
  <c r="F89" i="1" s="1"/>
  <c r="G89" i="1" s="1"/>
  <c r="I89" i="1" s="1"/>
  <c r="E83" i="1"/>
  <c r="F83" i="1" s="1"/>
  <c r="G83" i="1" s="1"/>
  <c r="H83" i="1" s="1"/>
  <c r="E32" i="1"/>
  <c r="E48" i="1"/>
  <c r="E126" i="1"/>
  <c r="F126" i="1" s="1"/>
  <c r="G126" i="1" s="1"/>
  <c r="K126" i="1" s="1"/>
  <c r="E100" i="1"/>
  <c r="E58" i="2" s="1"/>
  <c r="E123" i="1"/>
  <c r="E71" i="2" s="1"/>
  <c r="E138" i="1"/>
  <c r="F138" i="1" s="1"/>
  <c r="G138" i="1" s="1"/>
  <c r="K138" i="1" s="1"/>
  <c r="E111" i="1"/>
  <c r="F111" i="1" s="1"/>
  <c r="G111" i="1" s="1"/>
  <c r="I111" i="1" s="1"/>
  <c r="E140" i="1"/>
  <c r="F140" i="1" s="1"/>
  <c r="G140" i="1" s="1"/>
  <c r="K140" i="1" s="1"/>
  <c r="E39" i="1"/>
  <c r="E99" i="2" s="1"/>
  <c r="E116" i="1"/>
  <c r="E115" i="2" s="1"/>
  <c r="E132" i="1"/>
  <c r="E74" i="2" s="1"/>
  <c r="E70" i="1"/>
  <c r="F70" i="1" s="1"/>
  <c r="G70" i="1" s="1"/>
  <c r="I70" i="1" s="1"/>
  <c r="F47" i="1"/>
  <c r="G47" i="1" s="1"/>
  <c r="I47" i="1" s="1"/>
  <c r="E69" i="2"/>
  <c r="F32" i="1"/>
  <c r="G32" i="1" s="1"/>
  <c r="H32" i="1" s="1"/>
  <c r="E92" i="2"/>
  <c r="E41" i="2"/>
  <c r="F81" i="1"/>
  <c r="G81" i="1" s="1"/>
  <c r="I81" i="1" s="1"/>
  <c r="E113" i="2"/>
  <c r="E123" i="2"/>
  <c r="F125" i="1"/>
  <c r="G125" i="1" s="1"/>
  <c r="I125" i="1" s="1"/>
  <c r="E51" i="2"/>
  <c r="E31" i="2"/>
  <c r="E102" i="2"/>
  <c r="E98" i="2"/>
  <c r="F38" i="1"/>
  <c r="G38" i="1" s="1"/>
  <c r="H38" i="1" s="1"/>
  <c r="E19" i="2"/>
  <c r="F52" i="1"/>
  <c r="G52" i="1" s="1"/>
  <c r="I52" i="1" s="1"/>
  <c r="E126" i="2"/>
  <c r="F130" i="1"/>
  <c r="G130" i="1" s="1"/>
  <c r="K130" i="1" s="1"/>
  <c r="E111" i="2"/>
  <c r="F35" i="1"/>
  <c r="G35" i="1" s="1"/>
  <c r="H35" i="1" s="1"/>
  <c r="E95" i="2"/>
  <c r="E35" i="2"/>
  <c r="F60" i="1"/>
  <c r="G60" i="1" s="1"/>
  <c r="I60" i="1" s="1"/>
  <c r="F56" i="1"/>
  <c r="G56" i="1" s="1"/>
  <c r="I56" i="1" s="1"/>
  <c r="F48" i="1"/>
  <c r="G48" i="1" s="1"/>
  <c r="I48" i="1" s="1"/>
  <c r="E108" i="2"/>
  <c r="F43" i="1"/>
  <c r="G43" i="1" s="1"/>
  <c r="I43" i="1" s="1"/>
  <c r="E103" i="2"/>
  <c r="F23" i="1"/>
  <c r="G23" i="1" s="1"/>
  <c r="H23" i="1" s="1"/>
  <c r="E79" i="2"/>
  <c r="E42" i="2" l="1"/>
  <c r="E124" i="2"/>
  <c r="E55" i="2"/>
  <c r="E70" i="2"/>
  <c r="F31" i="1"/>
  <c r="G31" i="1" s="1"/>
  <c r="I31" i="1" s="1"/>
  <c r="F49" i="1"/>
  <c r="G49" i="1" s="1"/>
  <c r="I49" i="1" s="1"/>
  <c r="E100" i="2"/>
  <c r="E13" i="2"/>
  <c r="E109" i="2"/>
  <c r="E32" i="2"/>
  <c r="F113" i="1"/>
  <c r="G113" i="1" s="1"/>
  <c r="I113" i="1" s="1"/>
  <c r="F98" i="1"/>
  <c r="G98" i="1" s="1"/>
  <c r="I98" i="1" s="1"/>
  <c r="E20" i="2"/>
  <c r="E33" i="2"/>
  <c r="E118" i="2"/>
  <c r="E66" i="2"/>
  <c r="E80" i="2"/>
  <c r="F68" i="1"/>
  <c r="G68" i="1" s="1"/>
  <c r="I68" i="1" s="1"/>
  <c r="E30" i="2"/>
  <c r="E36" i="2"/>
  <c r="E37" i="2"/>
  <c r="E112" i="2"/>
  <c r="E49" i="2"/>
  <c r="E114" i="2"/>
  <c r="E34" i="1"/>
  <c r="E136" i="1"/>
  <c r="E118" i="1"/>
  <c r="E121" i="1"/>
  <c r="E104" i="1"/>
  <c r="E94" i="1"/>
  <c r="F94" i="1" s="1"/>
  <c r="G94" i="1" s="1"/>
  <c r="I94" i="1" s="1"/>
  <c r="E148" i="1"/>
  <c r="F148" i="1" s="1"/>
  <c r="G148" i="1" s="1"/>
  <c r="K148" i="1" s="1"/>
  <c r="F133" i="1"/>
  <c r="G133" i="1" s="1"/>
  <c r="K133" i="1" s="1"/>
  <c r="E81" i="2"/>
  <c r="E25" i="2"/>
  <c r="E61" i="2"/>
  <c r="F132" i="1"/>
  <c r="G132" i="1" s="1"/>
  <c r="K132" i="1" s="1"/>
  <c r="F116" i="1"/>
  <c r="G116" i="1" s="1"/>
  <c r="I116" i="1" s="1"/>
  <c r="E57" i="2"/>
  <c r="E28" i="1"/>
  <c r="E137" i="1"/>
  <c r="E105" i="1"/>
  <c r="F105" i="1" s="1"/>
  <c r="G105" i="1" s="1"/>
  <c r="I105" i="1" s="1"/>
  <c r="E59" i="1"/>
  <c r="E33" i="1"/>
  <c r="E151" i="1"/>
  <c r="F151" i="1" s="1"/>
  <c r="G151" i="1" s="1"/>
  <c r="K151" i="1" s="1"/>
  <c r="F84" i="1"/>
  <c r="G84" i="1" s="1"/>
  <c r="I84" i="1" s="1"/>
  <c r="E47" i="2"/>
  <c r="E36" i="1"/>
  <c r="F36" i="1" s="1"/>
  <c r="G36" i="1" s="1"/>
  <c r="H36" i="1" s="1"/>
  <c r="E64" i="1"/>
  <c r="E26" i="2" s="1"/>
  <c r="E110" i="1"/>
  <c r="F110" i="1" s="1"/>
  <c r="G110" i="1" s="1"/>
  <c r="I110" i="1" s="1"/>
  <c r="E61" i="1"/>
  <c r="F123" i="1"/>
  <c r="G123" i="1" s="1"/>
  <c r="J123" i="1" s="1"/>
  <c r="F24" i="1"/>
  <c r="G24" i="1" s="1"/>
  <c r="H24" i="1" s="1"/>
  <c r="E86" i="2"/>
  <c r="E43" i="2"/>
  <c r="E37" i="1"/>
  <c r="E41" i="1"/>
  <c r="E48" i="2"/>
  <c r="E107" i="1"/>
  <c r="E102" i="1"/>
  <c r="E22" i="1"/>
  <c r="E45" i="1"/>
  <c r="E79" i="1"/>
  <c r="E92" i="1"/>
  <c r="F92" i="1" s="1"/>
  <c r="G92" i="1" s="1"/>
  <c r="I92" i="1" s="1"/>
  <c r="E129" i="1"/>
  <c r="E117" i="1"/>
  <c r="E53" i="1"/>
  <c r="E78" i="1"/>
  <c r="E27" i="1"/>
  <c r="E25" i="1"/>
  <c r="E112" i="1"/>
  <c r="E85" i="1"/>
  <c r="E134" i="1"/>
  <c r="E65" i="1"/>
  <c r="E62" i="1"/>
  <c r="F62" i="1" s="1"/>
  <c r="G62" i="1" s="1"/>
  <c r="I62" i="1" s="1"/>
  <c r="E75" i="1"/>
  <c r="E101" i="1"/>
  <c r="F101" i="1" s="1"/>
  <c r="G101" i="1" s="1"/>
  <c r="I101" i="1" s="1"/>
  <c r="E12" i="2"/>
  <c r="E44" i="1"/>
  <c r="E55" i="1"/>
  <c r="E139" i="1"/>
  <c r="F139" i="1" s="1"/>
  <c r="G139" i="1" s="1"/>
  <c r="K139" i="1" s="1"/>
  <c r="E54" i="1"/>
  <c r="E150" i="1"/>
  <c r="F150" i="1" s="1"/>
  <c r="G150" i="1" s="1"/>
  <c r="K150" i="1" s="1"/>
  <c r="F106" i="1"/>
  <c r="G106" i="1" s="1"/>
  <c r="I106" i="1" s="1"/>
  <c r="F66" i="1"/>
  <c r="G66" i="1" s="1"/>
  <c r="I66" i="1" s="1"/>
  <c r="F73" i="1"/>
  <c r="G73" i="1" s="1"/>
  <c r="I73" i="1" s="1"/>
  <c r="F30" i="1"/>
  <c r="U30" i="1" s="1"/>
  <c r="F120" i="1"/>
  <c r="G120" i="1" s="1"/>
  <c r="F39" i="1"/>
  <c r="G39" i="1" s="1"/>
  <c r="H39" i="1" s="1"/>
  <c r="E77" i="2"/>
  <c r="F64" i="1"/>
  <c r="G64" i="1" s="1"/>
  <c r="I64" i="1" s="1"/>
  <c r="E106" i="2"/>
  <c r="E122" i="2"/>
  <c r="E40" i="2"/>
  <c r="F100" i="1"/>
  <c r="G100" i="1" s="1"/>
  <c r="I100" i="1" s="1"/>
  <c r="E53" i="2" l="1"/>
  <c r="E59" i="2"/>
  <c r="E24" i="2"/>
  <c r="E96" i="2"/>
  <c r="E52" i="2"/>
  <c r="F27" i="1"/>
  <c r="G27" i="1" s="1"/>
  <c r="H27" i="1" s="1"/>
  <c r="E87" i="2"/>
  <c r="F22" i="1"/>
  <c r="G22" i="1" s="1"/>
  <c r="H22" i="1" s="1"/>
  <c r="E82" i="2"/>
  <c r="E110" i="2"/>
  <c r="F75" i="1"/>
  <c r="G75" i="1" s="1"/>
  <c r="I75" i="1" s="1"/>
  <c r="F78" i="1"/>
  <c r="G78" i="1" s="1"/>
  <c r="I78" i="1" s="1"/>
  <c r="E38" i="2"/>
  <c r="F102" i="1"/>
  <c r="G102" i="1" s="1"/>
  <c r="I102" i="1" s="1"/>
  <c r="E60" i="2"/>
  <c r="F33" i="1"/>
  <c r="G33" i="1" s="1"/>
  <c r="H33" i="1" s="1"/>
  <c r="E93" i="2"/>
  <c r="E120" i="2"/>
  <c r="F121" i="1"/>
  <c r="G121" i="1" s="1"/>
  <c r="E62" i="2"/>
  <c r="F104" i="1"/>
  <c r="G104" i="1" s="1"/>
  <c r="I104" i="1" s="1"/>
  <c r="F53" i="1"/>
  <c r="G53" i="1" s="1"/>
  <c r="I53" i="1" s="1"/>
  <c r="E15" i="2"/>
  <c r="E65" i="2"/>
  <c r="F107" i="1"/>
  <c r="G107" i="1" s="1"/>
  <c r="I107" i="1" s="1"/>
  <c r="F61" i="1"/>
  <c r="G61" i="1" s="1"/>
  <c r="I61" i="1" s="1"/>
  <c r="E23" i="2"/>
  <c r="F59" i="1"/>
  <c r="G59" i="1" s="1"/>
  <c r="I59" i="1" s="1"/>
  <c r="E21" i="2"/>
  <c r="E117" i="2"/>
  <c r="F118" i="1"/>
  <c r="G118" i="1" s="1"/>
  <c r="I118" i="1" s="1"/>
  <c r="F134" i="1"/>
  <c r="G134" i="1" s="1"/>
  <c r="K134" i="1" s="1"/>
  <c r="E76" i="2"/>
  <c r="F129" i="1"/>
  <c r="G129" i="1" s="1"/>
  <c r="K129" i="1" s="1"/>
  <c r="E72" i="2"/>
  <c r="F41" i="1"/>
  <c r="G41" i="1" s="1"/>
  <c r="H41" i="1" s="1"/>
  <c r="E101" i="2"/>
  <c r="E128" i="2"/>
  <c r="F137" i="1"/>
  <c r="G137" i="1" s="1"/>
  <c r="K137" i="1" s="1"/>
  <c r="E94" i="2"/>
  <c r="F34" i="1"/>
  <c r="G34" i="1" s="1"/>
  <c r="H34" i="1" s="1"/>
  <c r="E78" i="2"/>
  <c r="F136" i="1"/>
  <c r="G136" i="1" s="1"/>
  <c r="K136" i="1" s="1"/>
  <c r="E63" i="2"/>
  <c r="E17" i="2"/>
  <c r="F55" i="1"/>
  <c r="G55" i="1" s="1"/>
  <c r="I55" i="1" s="1"/>
  <c r="F85" i="1"/>
  <c r="G85" i="1" s="1"/>
  <c r="I85" i="1" s="1"/>
  <c r="E45" i="2"/>
  <c r="E97" i="2"/>
  <c r="F37" i="1"/>
  <c r="G37" i="1" s="1"/>
  <c r="H37" i="1" s="1"/>
  <c r="F28" i="1"/>
  <c r="G28" i="1" s="1"/>
  <c r="H28" i="1" s="1"/>
  <c r="E88" i="2"/>
  <c r="F65" i="1"/>
  <c r="G65" i="1" s="1"/>
  <c r="I65" i="1" s="1"/>
  <c r="E27" i="2"/>
  <c r="E116" i="2"/>
  <c r="F117" i="1"/>
  <c r="G117" i="1" s="1"/>
  <c r="I117" i="1" s="1"/>
  <c r="F44" i="1"/>
  <c r="G44" i="1" s="1"/>
  <c r="I44" i="1" s="1"/>
  <c r="E104" i="2"/>
  <c r="F112" i="1"/>
  <c r="G112" i="1" s="1"/>
  <c r="I112" i="1" s="1"/>
  <c r="E67" i="2"/>
  <c r="E39" i="2"/>
  <c r="F79" i="1"/>
  <c r="G79" i="1" s="1"/>
  <c r="I79" i="1" s="1"/>
  <c r="F54" i="1"/>
  <c r="G54" i="1" s="1"/>
  <c r="I54" i="1" s="1"/>
  <c r="E16" i="2"/>
  <c r="E85" i="2"/>
  <c r="F25" i="1"/>
  <c r="G25" i="1" s="1"/>
  <c r="H25" i="1" s="1"/>
  <c r="E105" i="2"/>
  <c r="F45" i="1"/>
  <c r="G45" i="1" s="1"/>
  <c r="I45" i="1" s="1"/>
  <c r="I120" i="1"/>
  <c r="C11" i="1"/>
  <c r="C12" i="1"/>
  <c r="O158" i="1" l="1"/>
  <c r="O157" i="1"/>
  <c r="O156" i="1"/>
  <c r="O155" i="1"/>
  <c r="O154" i="1"/>
  <c r="O153" i="1"/>
  <c r="O152" i="1"/>
  <c r="C16" i="1"/>
  <c r="D18" i="1" s="1"/>
  <c r="O115" i="1"/>
  <c r="O112" i="1"/>
  <c r="O134" i="1"/>
  <c r="O125" i="1"/>
  <c r="O133" i="1"/>
  <c r="O148" i="1"/>
  <c r="O110" i="1"/>
  <c r="O123" i="1"/>
  <c r="O113" i="1"/>
  <c r="O151" i="1"/>
  <c r="O146" i="1"/>
  <c r="O140" i="1"/>
  <c r="O119" i="1"/>
  <c r="O114" i="1"/>
  <c r="O109" i="1"/>
  <c r="O137" i="1"/>
  <c r="O122" i="1"/>
  <c r="O121" i="1"/>
  <c r="O117" i="1"/>
  <c r="O126" i="1"/>
  <c r="O118" i="1"/>
  <c r="O150" i="1"/>
  <c r="C15" i="1"/>
  <c r="O135" i="1"/>
  <c r="O145" i="1"/>
  <c r="O144" i="1"/>
  <c r="O124" i="1"/>
  <c r="O129" i="1"/>
  <c r="O120" i="1"/>
  <c r="O147" i="1"/>
  <c r="O143" i="1"/>
  <c r="O111" i="1"/>
  <c r="O131" i="1"/>
  <c r="O136" i="1"/>
  <c r="O138" i="1"/>
  <c r="O116" i="1"/>
  <c r="O142" i="1"/>
  <c r="O139" i="1"/>
  <c r="O149" i="1"/>
  <c r="O127" i="1"/>
  <c r="O130" i="1"/>
  <c r="O141" i="1"/>
  <c r="O108" i="1"/>
  <c r="O128" i="1"/>
  <c r="O132" i="1"/>
  <c r="I1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<sst xmlns="http://schemas.openxmlformats.org/spreadsheetml/2006/main" count="1330" uniqueCount="533">
  <si>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</si>
  <si>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</si>
  <si>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</si>
  <si>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</si>
  <si>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</si>
  <si>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</si>
  <si>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</si>
  <si>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</si>
  <si>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</si>
  <si>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</si>
  <si>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</si>
  <si>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</si>
  <si>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</si>
  <si>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</si>
  <si>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</si>
  <si>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</si>
  <si>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</si>
  <si>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</si>
  <si>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</si>
  <si>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</si>
  <si>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</si>
  <si>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</si>
  <si>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</si>
  <si>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</si>
  <si>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</si>
  <si>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</si>
  <si>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</si>
  <si>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</si>
  <si>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</si>
  <si>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Bull...31</t>
  </si>
  <si>
    <t>B</t>
  </si>
  <si>
    <t>BBSAG Bull...32</t>
  </si>
  <si>
    <t>BBSAG Bull.3</t>
  </si>
  <si>
    <t>Peter H</t>
  </si>
  <si>
    <t>BBSAG Bull.5</t>
  </si>
  <si>
    <t>BBSAG Bull.6</t>
  </si>
  <si>
    <t>BBSAG Bull.9</t>
  </si>
  <si>
    <t>BBSAG Bull.10</t>
  </si>
  <si>
    <t>BBSAG Bull.11</t>
  </si>
  <si>
    <t>BBSAG Bull.12</t>
  </si>
  <si>
    <t>BBSAG Bull.17</t>
  </si>
  <si>
    <t>BBSAG Bull.23</t>
  </si>
  <si>
    <t>BBSAG Bull.24</t>
  </si>
  <si>
    <t>BBSAG Bull.34</t>
  </si>
  <si>
    <t>v</t>
  </si>
  <si>
    <t>BBSAG Bull.35</t>
  </si>
  <si>
    <t>BBSAG Bull.37</t>
  </si>
  <si>
    <t>BBSAG Bull.38</t>
  </si>
  <si>
    <t>BBSAG Bull.40</t>
  </si>
  <si>
    <t>BBSAG Bull.44</t>
  </si>
  <si>
    <t>BBSAG Bull.45</t>
  </si>
  <si>
    <t>BBSAG Bull.46</t>
  </si>
  <si>
    <t>BBSAG Bull.50</t>
  </si>
  <si>
    <t>BBSAG Bull.56</t>
  </si>
  <si>
    <t>Stoikidis N</t>
  </si>
  <si>
    <t>BBSAG Bull.57</t>
  </si>
  <si>
    <t>BBSAG Bull.58</t>
  </si>
  <si>
    <t>BBSAG Bull.60</t>
  </si>
  <si>
    <t>BBSAG Bull.62</t>
  </si>
  <si>
    <t>Kohl M</t>
  </si>
  <si>
    <t>BBSAG Bull.67</t>
  </si>
  <si>
    <t>BBSAG Bull.69</t>
  </si>
  <si>
    <t>BBSAG Bull.73</t>
  </si>
  <si>
    <t>BBSAG Bull.74</t>
  </si>
  <si>
    <t>BBSAG Bull.78</t>
  </si>
  <si>
    <t>BBSAG 78</t>
  </si>
  <si>
    <t>K</t>
  </si>
  <si>
    <t>Paschke A</t>
  </si>
  <si>
    <t>BBSAG Bull.82</t>
  </si>
  <si>
    <t>BBSAG Bull.89</t>
  </si>
  <si>
    <t>Blaettler E</t>
  </si>
  <si>
    <t>BBSAG Bull.92</t>
  </si>
  <si>
    <t>BBSAG Bull.96</t>
  </si>
  <si>
    <t>BBSAG Bull.98</t>
  </si>
  <si>
    <t>BBSAG Bull.105</t>
  </si>
  <si>
    <t>BBSAG Bull.114</t>
  </si>
  <si>
    <t>BBSAG Bull.116</t>
  </si>
  <si>
    <t>IBVS 5364</t>
  </si>
  <si>
    <t>I</t>
  </si>
  <si>
    <t>EA/SD</t>
  </si>
  <si>
    <t>TY Cap / GSC 05749-01249</t>
  </si>
  <si>
    <t># of data points:</t>
  </si>
  <si>
    <t>IBVS 5897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</si>
  <si>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</si>
  <si>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</si>
  <si>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</si>
  <si>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</si>
  <si>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</si>
  <si>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Add cycle</t>
  </si>
  <si>
    <t>Old Cycle</t>
  </si>
  <si>
    <t>JAVSO..36..171</t>
  </si>
  <si>
    <t>JAVSO..38...85</t>
  </si>
  <si>
    <t>JAVSO..40....1</t>
  </si>
  <si>
    <t>JAVSO..36..186</t>
  </si>
  <si>
    <t>2012JAVSO..40..975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</si>
  <si>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</si>
  <si>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</si>
  <si>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</si>
  <si>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</si>
  <si>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</si>
  <si>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</si>
  <si>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</si>
  <si>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</si>
  <si>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</si>
  <si>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</si>
  <si>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</si>
  <si>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</si>
  <si>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</si>
  <si>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</si>
  <si>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2425854.359 </t>
  </si>
  <si>
    <t> 30.08.1929 20:36 </t>
  </si>
  <si>
    <t> 0.103 </t>
  </si>
  <si>
    <t>P </t>
  </si>
  <si>
    <t> H.Rügemer </t>
  </si>
  <si>
    <t> AN 251.312 </t>
  </si>
  <si>
    <t>2426331.210 </t>
  </si>
  <si>
    <t> 20.12.1930 17:02 </t>
  </si>
  <si>
    <t> 0.094 </t>
  </si>
  <si>
    <t>2427303.426 </t>
  </si>
  <si>
    <t> 18.08.1933 22:13 </t>
  </si>
  <si>
    <t> 0.085 </t>
  </si>
  <si>
    <t>2427313.400 </t>
  </si>
  <si>
    <t> 28.08.1933 21:36 </t>
  </si>
  <si>
    <t> 0.095 </t>
  </si>
  <si>
    <t>V </t>
  </si>
  <si>
    <t> J.Pagaczewski </t>
  </si>
  <si>
    <t>2427323.370 </t>
  </si>
  <si>
    <t> 07.09.1933 20:52 </t>
  </si>
  <si>
    <t> 0.101 </t>
  </si>
  <si>
    <t>2427340.456 </t>
  </si>
  <si>
    <t> 24.09.1933 22:56 </t>
  </si>
  <si>
    <t> 0.105 </t>
  </si>
  <si>
    <t>2427343.294 </t>
  </si>
  <si>
    <t> 27.09.1933 19:03 </t>
  </si>
  <si>
    <t> 0.096 </t>
  </si>
  <si>
    <t>2427353.284 </t>
  </si>
  <si>
    <t> 07.10.1933 18:48 </t>
  </si>
  <si>
    <t> 0.122 </t>
  </si>
  <si>
    <t>2427370.344 </t>
  </si>
  <si>
    <t> 24.10.1933 20:15 </t>
  </si>
  <si>
    <t>2427372.191 </t>
  </si>
  <si>
    <t> 26.10.1933 16:35 </t>
  </si>
  <si>
    <t> 0.524 </t>
  </si>
  <si>
    <t> W.Zessewitsch </t>
  </si>
  <si>
    <t> BSAO 8.26 </t>
  </si>
  <si>
    <t>2427393.191 </t>
  </si>
  <si>
    <t> 16.11.1933 16:35 </t>
  </si>
  <si>
    <t> 0.172 </t>
  </si>
  <si>
    <t> IODE 4.1.164 </t>
  </si>
  <si>
    <t>2427703.434 </t>
  </si>
  <si>
    <t> 22.09.1934 22:24 </t>
  </si>
  <si>
    <t> 0.100 </t>
  </si>
  <si>
    <t> S.Piotrowski </t>
  </si>
  <si>
    <t> AAC 2.77 </t>
  </si>
  <si>
    <t>2427979.600 </t>
  </si>
  <si>
    <t> 26.06.1935 02:24 </t>
  </si>
  <si>
    <t> 0.115 </t>
  </si>
  <si>
    <t> F.Lause </t>
  </si>
  <si>
    <t> AN 259.189 </t>
  </si>
  <si>
    <t>2427989.544 </t>
  </si>
  <si>
    <t> 06.07.1935 01:03 </t>
  </si>
  <si>
    <t>2428022.267 </t>
  </si>
  <si>
    <t> 07.08.1935 18:24 </t>
  </si>
  <si>
    <t> 0.078 </t>
  </si>
  <si>
    <t>2428026.549 </t>
  </si>
  <si>
    <t> 12.08.1935 01:10 </t>
  </si>
  <si>
    <t> 0.089 </t>
  </si>
  <si>
    <t>2428036.500 </t>
  </si>
  <si>
    <t> 22.08.1935 00:00 </t>
  </si>
  <si>
    <t> 0.076 </t>
  </si>
  <si>
    <t>2428066.409 </t>
  </si>
  <si>
    <t> 20.09.1935 21:48 </t>
  </si>
  <si>
    <t> 0.092 </t>
  </si>
  <si>
    <t>2428076.375 </t>
  </si>
  <si>
    <t> 30.09.1935 21:00 </t>
  </si>
  <si>
    <t>2428106.269 </t>
  </si>
  <si>
    <t> 30.10.1935 18:27 </t>
  </si>
  <si>
    <t>2428109.136 </t>
  </si>
  <si>
    <t> 02.11.1935 15:15 </t>
  </si>
  <si>
    <t> 0.116 </t>
  </si>
  <si>
    <t>2428126.194 </t>
  </si>
  <si>
    <t> 19.11.1935 16:39 </t>
  </si>
  <si>
    <t>2429563.895 </t>
  </si>
  <si>
    <t> 27.10.1939 09:28 </t>
  </si>
  <si>
    <t> A.Soloviev </t>
  </si>
  <si>
    <t>2430607.308 </t>
  </si>
  <si>
    <t> 04.09.1942 19:23 </t>
  </si>
  <si>
    <t> 0.111 </t>
  </si>
  <si>
    <t>2430637.212 </t>
  </si>
  <si>
    <t> 04.10.1942 17:05 </t>
  </si>
  <si>
    <t>2430647.162 </t>
  </si>
  <si>
    <t> 14.10.1942 15:53 </t>
  </si>
  <si>
    <t> 0.108 </t>
  </si>
  <si>
    <t>2432017.956 </t>
  </si>
  <si>
    <t> 16.07.1946 10:56 </t>
  </si>
  <si>
    <t>2434732.509 </t>
  </si>
  <si>
    <t> 21.12.1953 00:12 </t>
  </si>
  <si>
    <t> 0.118 </t>
  </si>
  <si>
    <t> PZ 10.333 </t>
  </si>
  <si>
    <t>2441176.487 </t>
  </si>
  <si>
    <t> 12.08.1971 23:41 </t>
  </si>
  <si>
    <t> 0.082 </t>
  </si>
  <si>
    <t> K.Locher </t>
  </si>
  <si>
    <t> ORI 126 </t>
  </si>
  <si>
    <t>2441216.330 </t>
  </si>
  <si>
    <t> 21.09.1971 19:55 </t>
  </si>
  <si>
    <t> 0.068 </t>
  </si>
  <si>
    <t> ORI 127 </t>
  </si>
  <si>
    <t>2441472.546 </t>
  </si>
  <si>
    <t> 04.06.1972 01:06 </t>
  </si>
  <si>
    <t> 0.061 </t>
  </si>
  <si>
    <t> BBS 3 </t>
  </si>
  <si>
    <t>2441539.447 </t>
  </si>
  <si>
    <t> 09.08.1972 22:43 </t>
  </si>
  <si>
    <t> 0.059 </t>
  </si>
  <si>
    <t> H.Peter </t>
  </si>
  <si>
    <t> BBS 5 </t>
  </si>
  <si>
    <t>2441569.334 </t>
  </si>
  <si>
    <t> 08.09.1972 20:00 </t>
  </si>
  <si>
    <t> 0.053 </t>
  </si>
  <si>
    <t>2441589.278 </t>
  </si>
  <si>
    <t> 28.09.1972 18:40 </t>
  </si>
  <si>
    <t> 0.069 </t>
  </si>
  <si>
    <t>2441626.269 </t>
  </si>
  <si>
    <t> 04.11.1972 18:27 </t>
  </si>
  <si>
    <t> 0.050 </t>
  </si>
  <si>
    <t> BBS 6 </t>
  </si>
  <si>
    <t>2441815.591 </t>
  </si>
  <si>
    <t> 13.05.1973 02:11 </t>
  </si>
  <si>
    <t> 0.051 </t>
  </si>
  <si>
    <t> BBS 9 </t>
  </si>
  <si>
    <t>2441865.414 </t>
  </si>
  <si>
    <t> 01.07.1973 21:56 </t>
  </si>
  <si>
    <t> BBS 10 </t>
  </si>
  <si>
    <t>2441892.465 </t>
  </si>
  <si>
    <t> 28.07.1973 23:09 </t>
  </si>
  <si>
    <t> 0.058 </t>
  </si>
  <si>
    <t>2441932.315 </t>
  </si>
  <si>
    <t> 06.09.1973 19:33 </t>
  </si>
  <si>
    <t> BBS 11 </t>
  </si>
  <si>
    <t>2441959.361 </t>
  </si>
  <si>
    <t> 03.10.1973 20:39 </t>
  </si>
  <si>
    <t> BBS 12 </t>
  </si>
  <si>
    <t>2441989.255 </t>
  </si>
  <si>
    <t> 02.11.1973 18:07 </t>
  </si>
  <si>
    <t>2442272.518 </t>
  </si>
  <si>
    <t> 13.08.1974 00:25 </t>
  </si>
  <si>
    <t> 0.047 </t>
  </si>
  <si>
    <t> BBS 17 </t>
  </si>
  <si>
    <t>2442568.585 </t>
  </si>
  <si>
    <t> 05.06.1975 02:02 </t>
  </si>
  <si>
    <t> 0.033 </t>
  </si>
  <si>
    <t> BBS 23 </t>
  </si>
  <si>
    <t>2442628.387 </t>
  </si>
  <si>
    <t> 03.08.1975 21:17 </t>
  </si>
  <si>
    <t>2442638.353 </t>
  </si>
  <si>
    <t> 13.08.1975 20:28 </t>
  </si>
  <si>
    <t> 0.052 </t>
  </si>
  <si>
    <t>2442665.380 </t>
  </si>
  <si>
    <t> 09.09.1975 21:07 </t>
  </si>
  <si>
    <t> BBS 24 </t>
  </si>
  <si>
    <t>2443069.660 </t>
  </si>
  <si>
    <t> 18.10.1976 03:50 </t>
  </si>
  <si>
    <t> G.Samolyk </t>
  </si>
  <si>
    <t> AOEB 9 </t>
  </si>
  <si>
    <t>2443361.455 </t>
  </si>
  <si>
    <t> 05.08.1977 22:55 </t>
  </si>
  <si>
    <t> 0.035 </t>
  </si>
  <si>
    <t> BBS 34 </t>
  </si>
  <si>
    <t>2443401.315 </t>
  </si>
  <si>
    <t> 14.09.1977 19:33 </t>
  </si>
  <si>
    <t> 0.038 </t>
  </si>
  <si>
    <t> BBS 35 </t>
  </si>
  <si>
    <t>2443657.534 </t>
  </si>
  <si>
    <t> 29.05.1978 00:48 </t>
  </si>
  <si>
    <t> 0.034 </t>
  </si>
  <si>
    <t> BBS 37 </t>
  </si>
  <si>
    <t>2443724.438 </t>
  </si>
  <si>
    <t> 03.08.1978 22:30 </t>
  </si>
  <si>
    <t> BBS 38 </t>
  </si>
  <si>
    <t>2443744.363 </t>
  </si>
  <si>
    <t> 23.08.1978 20:42 </t>
  </si>
  <si>
    <t> 0.032 </t>
  </si>
  <si>
    <t>2443811.270 </t>
  </si>
  <si>
    <t> 29.10.1978 18:28 </t>
  </si>
  <si>
    <t> 0.036 </t>
  </si>
  <si>
    <t> BBS 40 </t>
  </si>
  <si>
    <t>2444077.458 </t>
  </si>
  <si>
    <t> 22.07.1979 22:59 </t>
  </si>
  <si>
    <t> BBS 44 </t>
  </si>
  <si>
    <t>2444101.657 </t>
  </si>
  <si>
    <t> 16.08.1979 03:46 </t>
  </si>
  <si>
    <t>2444134.393 </t>
  </si>
  <si>
    <t> 17.09.1979 21:25 </t>
  </si>
  <si>
    <t> BBS 45 </t>
  </si>
  <si>
    <t>2444144.364 </t>
  </si>
  <si>
    <t> 27.09.1979 20:44 </t>
  </si>
  <si>
    <t> 0.040 </t>
  </si>
  <si>
    <t>2444164.289 </t>
  </si>
  <si>
    <t> 17.10.1979 18:56 </t>
  </si>
  <si>
    <t>2444211.246 </t>
  </si>
  <si>
    <t> 03.12.1979 17:54 </t>
  </si>
  <si>
    <t> 0.019 </t>
  </si>
  <si>
    <t> BBS 46 </t>
  </si>
  <si>
    <t>2444487.405 </t>
  </si>
  <si>
    <t> 04.09.1980 21:43 </t>
  </si>
  <si>
    <t> 0.026 </t>
  </si>
  <si>
    <t> BBS 50 </t>
  </si>
  <si>
    <t>2444497.375 </t>
  </si>
  <si>
    <t> 14.09.1980 21:00 </t>
  </si>
  <si>
    <t>2444507.363 </t>
  </si>
  <si>
    <t> 24.09.1980 20:42 </t>
  </si>
  <si>
    <t> 0.056 </t>
  </si>
  <si>
    <t>2444793.458 </t>
  </si>
  <si>
    <t> 07.07.1981 22:59 </t>
  </si>
  <si>
    <t> BBS 56 </t>
  </si>
  <si>
    <t>2444907.322 </t>
  </si>
  <si>
    <t> 29.10.1981 19:43 </t>
  </si>
  <si>
    <t> 0.022 </t>
  </si>
  <si>
    <t> N.Stoikidis </t>
  </si>
  <si>
    <t> BBS 57 </t>
  </si>
  <si>
    <t>2444927.252 </t>
  </si>
  <si>
    <t> 18.11.1981 18:02 </t>
  </si>
  <si>
    <t> 0.023 </t>
  </si>
  <si>
    <t> BBS 58 </t>
  </si>
  <si>
    <t>2445116.574 </t>
  </si>
  <si>
    <t> 27.05.1982 01:46 </t>
  </si>
  <si>
    <t> 0.025 </t>
  </si>
  <si>
    <t> BBS 60 </t>
  </si>
  <si>
    <t>2445193.431 </t>
  </si>
  <si>
    <t> 11.08.1982 22:20 </t>
  </si>
  <si>
    <t> 0.015 </t>
  </si>
  <si>
    <t> BBS 62 </t>
  </si>
  <si>
    <t>2445193.440 </t>
  </si>
  <si>
    <t> 11.08.1982 22:33 </t>
  </si>
  <si>
    <t> 0.024 </t>
  </si>
  <si>
    <t> M.Kohl </t>
  </si>
  <si>
    <t>2445203.399 </t>
  </si>
  <si>
    <t> 21.08.1982 21:34 </t>
  </si>
  <si>
    <t>2445203.404 </t>
  </si>
  <si>
    <t> 21.08.1982 21:41 </t>
  </si>
  <si>
    <t>2445223.325 </t>
  </si>
  <si>
    <t> 10.09.1982 19:48 </t>
  </si>
  <si>
    <t> 0.016 </t>
  </si>
  <si>
    <t>2445264.628 </t>
  </si>
  <si>
    <t> 22.10.1982 03:04 </t>
  </si>
  <si>
    <t> 0.039 </t>
  </si>
  <si>
    <t>2445526.528 </t>
  </si>
  <si>
    <t> 11.07.1983 00:40 </t>
  </si>
  <si>
    <t> BBS 67 </t>
  </si>
  <si>
    <t>2445613.346 </t>
  </si>
  <si>
    <t> 05.10.1983 20:18 </t>
  </si>
  <si>
    <t> 0.008 </t>
  </si>
  <si>
    <t> BBS 69 </t>
  </si>
  <si>
    <t>2445613.364 </t>
  </si>
  <si>
    <t> 05.10.1983 20:44 </t>
  </si>
  <si>
    <t>2445876.719 </t>
  </si>
  <si>
    <t> 25.06.1984 05:15 </t>
  </si>
  <si>
    <t> 0.041 </t>
  </si>
  <si>
    <t>2445902.327 </t>
  </si>
  <si>
    <t> 20.07.1984 19:50 </t>
  </si>
  <si>
    <t> 0.027 </t>
  </si>
  <si>
    <t> BBS 73 </t>
  </si>
  <si>
    <t>2445909.442 </t>
  </si>
  <si>
    <t> 27.07.1984 22:36 </t>
  </si>
  <si>
    <t>2445946.425 </t>
  </si>
  <si>
    <t> 02.09.1984 22:12 </t>
  </si>
  <si>
    <t> BBS 74 </t>
  </si>
  <si>
    <t>2445946.438 </t>
  </si>
  <si>
    <t> 02.09.1984 22:30 </t>
  </si>
  <si>
    <t> 0.010 </t>
  </si>
  <si>
    <t>2446299.455 </t>
  </si>
  <si>
    <t> 21.08.1985 22:55 </t>
  </si>
  <si>
    <t> 0.009 </t>
  </si>
  <si>
    <t> BBS 78 </t>
  </si>
  <si>
    <t>2446319.356 </t>
  </si>
  <si>
    <t> 10.09.1985 20:32 </t>
  </si>
  <si>
    <t> -0.019 </t>
  </si>
  <si>
    <t>2446329.350 </t>
  </si>
  <si>
    <t> 20.09.1985 20:24 </t>
  </si>
  <si>
    <t> 0.011 </t>
  </si>
  <si>
    <t>2446702.301 </t>
  </si>
  <si>
    <t> 28.09.1986 19:13 </t>
  </si>
  <si>
    <t> A.Paschke </t>
  </si>
  <si>
    <t> BBS 82 </t>
  </si>
  <si>
    <t>2447368.484 </t>
  </si>
  <si>
    <t> 25.07.1988 23:36 </t>
  </si>
  <si>
    <t> 0.017 </t>
  </si>
  <si>
    <t> BBS 89 </t>
  </si>
  <si>
    <t>2447388.397 </t>
  </si>
  <si>
    <t> 14.08.1988 21:31 </t>
  </si>
  <si>
    <t> 0.002 </t>
  </si>
  <si>
    <t> E.Blättler </t>
  </si>
  <si>
    <t>2447465.282 </t>
  </si>
  <si>
    <t> 30.10.1988 18:46 </t>
  </si>
  <si>
    <t> 0.020 </t>
  </si>
  <si>
    <t>2447688.778 </t>
  </si>
  <si>
    <t> 11.06.1989 06:40 </t>
  </si>
  <si>
    <t>2448094.437 </t>
  </si>
  <si>
    <t> 21.07.1990 22:29 </t>
  </si>
  <si>
    <t> 0.004 </t>
  </si>
  <si>
    <t> BBS 96 </t>
  </si>
  <si>
    <t>2448484.468 </t>
  </si>
  <si>
    <t> 15.08.1991 23:13 </t>
  </si>
  <si>
    <t> 0.007 </t>
  </si>
  <si>
    <t> BBS 98 </t>
  </si>
  <si>
    <t>2449220.406 </t>
  </si>
  <si>
    <t> 20.08.1993 21:44 </t>
  </si>
  <si>
    <t> BBS 105 </t>
  </si>
  <si>
    <t>2450336.391 </t>
  </si>
  <si>
    <t> 09.09.1996 21:23 </t>
  </si>
  <si>
    <t> 0.005 </t>
  </si>
  <si>
    <t> BBS 114 </t>
  </si>
  <si>
    <t>2450699.378 </t>
  </si>
  <si>
    <t> 07.09.1997 21:04 </t>
  </si>
  <si>
    <t> BBS 116 </t>
  </si>
  <si>
    <t>2450723.586 </t>
  </si>
  <si>
    <t> 02.10.1997 02:03 </t>
  </si>
  <si>
    <t> 0.018 </t>
  </si>
  <si>
    <t> M.Baldwin </t>
  </si>
  <si>
    <t>2451486.557 </t>
  </si>
  <si>
    <t> 04.11.1999 01:22 </t>
  </si>
  <si>
    <t> 0.014 </t>
  </si>
  <si>
    <t>2451734.235 </t>
  </si>
  <si>
    <t> 08.07.2000 17:38 </t>
  </si>
  <si>
    <t> Hirosawa </t>
  </si>
  <si>
    <t>VSB 38 </t>
  </si>
  <si>
    <t>2452182.6213 </t>
  </si>
  <si>
    <t> 30.09.2001 02:54 </t>
  </si>
  <si>
    <t> 0.0047 </t>
  </si>
  <si>
    <t>C </t>
  </si>
  <si>
    <t>ns</t>
  </si>
  <si>
    <t>2452223.902 </t>
  </si>
  <si>
    <t> 10.11.2001 09:38 </t>
  </si>
  <si>
    <t>VSB 39 </t>
  </si>
  <si>
    <t>2452448.8090 </t>
  </si>
  <si>
    <t> 23.06.2002 07:24 </t>
  </si>
  <si>
    <t> 0.0050 </t>
  </si>
  <si>
    <t>2452468.7365 </t>
  </si>
  <si>
    <t> 13.07.2002 05:40 </t>
  </si>
  <si>
    <t> 0.0040 </t>
  </si>
  <si>
    <t> C.Hesseltine </t>
  </si>
  <si>
    <t>2452521.4056 </t>
  </si>
  <si>
    <t> 03.09.2002 21:44 </t>
  </si>
  <si>
    <t>E </t>
  </si>
  <si>
    <t>?</t>
  </si>
  <si>
    <t> O.Demircan et al. </t>
  </si>
  <si>
    <t>IBVS 5364 </t>
  </si>
  <si>
    <t>2452525.6747 </t>
  </si>
  <si>
    <t> 08.09.2002 04:11 </t>
  </si>
  <si>
    <t> 0.0037 </t>
  </si>
  <si>
    <t>2452861.6140 </t>
  </si>
  <si>
    <t> 10.08.2003 02:44 </t>
  </si>
  <si>
    <t> 0.0059 </t>
  </si>
  <si>
    <t> D.Weier </t>
  </si>
  <si>
    <t>2453196.1257 </t>
  </si>
  <si>
    <t> 09.07.2004 15:01 </t>
  </si>
  <si>
    <t> 0.0039 </t>
  </si>
  <si>
    <t> Nakajima </t>
  </si>
  <si>
    <t>VSB 43 </t>
  </si>
  <si>
    <t>2453251.6393 </t>
  </si>
  <si>
    <t> 03.09.2004 03:20 </t>
  </si>
  <si>
    <t> 0.0025 </t>
  </si>
  <si>
    <t> AOEB 12 </t>
  </si>
  <si>
    <t>2453624.5842 </t>
  </si>
  <si>
    <t> 11.09.2005 02:01 </t>
  </si>
  <si>
    <t> 0.0002 </t>
  </si>
  <si>
    <t>2454296.4612 </t>
  </si>
  <si>
    <t> 14.07.2007 23:04 </t>
  </si>
  <si>
    <t> 0.0030 </t>
  </si>
  <si>
    <t>R</t>
  </si>
  <si>
    <t> A.Liakos &amp; P.Niarchos </t>
  </si>
  <si>
    <t>IBVS 5897 </t>
  </si>
  <si>
    <t>2454310.6957 </t>
  </si>
  <si>
    <t> 29.07.2007 04:41 </t>
  </si>
  <si>
    <t> 0.0028 </t>
  </si>
  <si>
    <t>2454363.3648 </t>
  </si>
  <si>
    <t> 19.09.2007 20:45 </t>
  </si>
  <si>
    <t> 0.0038 </t>
  </si>
  <si>
    <t>2454373.3282 </t>
  </si>
  <si>
    <t> 29.09.2007 19:52 </t>
  </si>
  <si>
    <t>2454384.7168 </t>
  </si>
  <si>
    <t> 11.10.2007 05:12 </t>
  </si>
  <si>
    <t> J.Bialozynski </t>
  </si>
  <si>
    <t>JAAVSO 36(2);171 </t>
  </si>
  <si>
    <t>2454680.7973 </t>
  </si>
  <si>
    <t> 02.08.2008 07:08 </t>
  </si>
  <si>
    <t> 0.0042 </t>
  </si>
  <si>
    <t>o</t>
  </si>
  <si>
    <t>JAAVSO 36(2);186 </t>
  </si>
  <si>
    <t>2454716.3804 </t>
  </si>
  <si>
    <t> 06.09.2008 21:07 </t>
  </si>
  <si>
    <t> 0.0008 </t>
  </si>
  <si>
    <t>m</t>
  </si>
  <si>
    <t>2455043.7825 </t>
  </si>
  <si>
    <t> 31.07.2009 06:46 </t>
  </si>
  <si>
    <t> 0.0065 </t>
  </si>
  <si>
    <t> JAAVSO 38;85 </t>
  </si>
  <si>
    <t>2455775.4426 </t>
  </si>
  <si>
    <t> 01.08.2011 22:37 </t>
  </si>
  <si>
    <t> 0.0069 </t>
  </si>
  <si>
    <t>-I</t>
  </si>
  <si>
    <t> M.&amp; K.Rätz </t>
  </si>
  <si>
    <t>BAVM 225 </t>
  </si>
  <si>
    <t>2455836.6486 </t>
  </si>
  <si>
    <t> 02.10.2011 03:33 </t>
  </si>
  <si>
    <t>730</t>
  </si>
  <si>
    <t> JAAVSO 40;975 </t>
  </si>
  <si>
    <t>2456552.6509 </t>
  </si>
  <si>
    <t> 17.09.2013 03:37 </t>
  </si>
  <si>
    <t>1233</t>
  </si>
  <si>
    <t> 0.0048 </t>
  </si>
  <si>
    <t> JAAVSO 41;328 </t>
  </si>
  <si>
    <t>BAD?</t>
  </si>
  <si>
    <t>JAVSO..43..238</t>
  </si>
  <si>
    <t>JAVSO..45..121</t>
  </si>
  <si>
    <t>JAVSO..45..215</t>
  </si>
  <si>
    <t>JAVSO..46..184</t>
  </si>
  <si>
    <t>JAVSO..48…87</t>
  </si>
  <si>
    <t>JAVSO 49, 108</t>
  </si>
  <si>
    <t>JAVSO 49, 256</t>
  </si>
  <si>
    <t>JAVSO, 49, 251</t>
  </si>
  <si>
    <t>JAVSO, 50, 133</t>
  </si>
  <si>
    <t>TESS/BAJ/RAA</t>
  </si>
  <si>
    <t>TESS</t>
  </si>
  <si>
    <t>JAAVSO 51, 134</t>
  </si>
  <si>
    <t>VSS SEB Gp</t>
  </si>
  <si>
    <t xml:space="preserve">Mag </t>
  </si>
  <si>
    <t>Next ToM-P</t>
  </si>
  <si>
    <t>Next ToM-S</t>
  </si>
  <si>
    <t>VSX</t>
  </si>
  <si>
    <t>10.29-11.48</t>
  </si>
  <si>
    <t>JAAVSO52#1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</si>
</sst>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000000000"/>
  </numFmts>
  <fonts count="3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/>
    <xf numFmtId="166" fontId="27" fillId="0" borderId="0" xfId="0" applyNumberFormat="1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/>
    <xf numFmtId="0" fontId="6" fillId="0" borderId="0" xfId="0" applyFont="1" applyAlignment="1"/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22" fontId="27" fillId="0" borderId="16" xfId="0" applyNumberFormat="1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165" fontId="25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8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Cap - O-C Diagr.</a:t>
            </a:r>
          </a:p>
        </c:rich>
      </c:tx>
      <c:layout>
        <c:manualLayout>
          <c:xMode val="edge"/>
          <c:yMode val="edge"/>
          <c:x val="0.3840252226536198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69252958613219"/>
          <c:w val="0.8141333257328354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1.5690000000176951E-2</c:v>
                </c:pt>
                <c:pt idx="1">
                  <c:v>8.2599999986996409E-3</c:v>
                </c:pt>
                <c:pt idx="2">
                  <c:v>2.4460000022372697E-3</c:v>
                </c:pt>
                <c:pt idx="3">
                  <c:v>1.2240000003657769E-2</c:v>
                </c:pt>
                <c:pt idx="4">
                  <c:v>1.8034000000625383E-2</c:v>
                </c:pt>
                <c:pt idx="5">
                  <c:v>2.2538000001077307E-2</c:v>
                </c:pt>
                <c:pt idx="6">
                  <c:v>1.3622000002214918E-2</c:v>
                </c:pt>
                <c:pt idx="7">
                  <c:v>3.9415999999619089E-2</c:v>
                </c:pt>
                <c:pt idx="8">
                  <c:v>1.7920000002050074E-2</c:v>
                </c:pt>
                <c:pt idx="11">
                  <c:v>1.8748000002233312E-2</c:v>
                </c:pt>
                <c:pt idx="12">
                  <c:v>3.3896000000822823E-2</c:v>
                </c:pt>
                <c:pt idx="13">
                  <c:v>1.3690000003407476E-2</c:v>
                </c:pt>
                <c:pt idx="14">
                  <c:v>-2.8439999987313058E-3</c:v>
                </c:pt>
                <c:pt idx="15">
                  <c:v>8.7820000007923227E-3</c:v>
                </c:pt>
                <c:pt idx="16">
                  <c:v>-4.4239999988349155E-3</c:v>
                </c:pt>
                <c:pt idx="17">
                  <c:v>1.1957999999140156E-2</c:v>
                </c:pt>
                <c:pt idx="18">
                  <c:v>1.375200000256882E-2</c:v>
                </c:pt>
                <c:pt idx="19">
                  <c:v>1.5134000001125969E-2</c:v>
                </c:pt>
                <c:pt idx="20">
                  <c:v>3.5218000000895699E-2</c:v>
                </c:pt>
                <c:pt idx="21">
                  <c:v>1.1721999999281252E-2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56-4B0D-A68F-DEB01F719C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  <c:pt idx="137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  <c:pt idx="1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0">
                  <c:v>8.9592000000266125E-2</c:v>
                </c:pt>
                <c:pt idx="22">
                  <c:v>2.014200000121491E-2</c:v>
                </c:pt>
                <c:pt idx="23">
                  <c:v>3.8428000003477791E-2</c:v>
                </c:pt>
                <c:pt idx="24">
                  <c:v>4.9810000000434229E-2</c:v>
                </c:pt>
                <c:pt idx="25">
                  <c:v>3.5604000000603264E-2</c:v>
                </c:pt>
                <c:pt idx="26">
                  <c:v>3.9550000001327135E-2</c:v>
                </c:pt>
                <c:pt idx="27">
                  <c:v>5.8144000002357643E-2</c:v>
                </c:pt>
                <c:pt idx="28">
                  <c:v>4.1778000006161164E-2</c:v>
                </c:pt>
                <c:pt idx="29">
                  <c:v>2.7954000004683621E-2</c:v>
                </c:pt>
                <c:pt idx="30">
                  <c:v>2.1514000007300638E-2</c:v>
                </c:pt>
                <c:pt idx="31">
                  <c:v>1.9988000000012107E-2</c:v>
                </c:pt>
                <c:pt idx="32">
                  <c:v>1.4370000004419126E-2</c:v>
                </c:pt>
                <c:pt idx="33">
                  <c:v>2.995799999916926E-2</c:v>
                </c:pt>
                <c:pt idx="34">
                  <c:v>1.1050000000977889E-2</c:v>
                </c:pt>
                <c:pt idx="35">
                  <c:v>1.3136000001395587E-2</c:v>
                </c:pt>
                <c:pt idx="36">
                  <c:v>1.5105999998922925E-2</c:v>
                </c:pt>
                <c:pt idx="37">
                  <c:v>2.0403999995323829E-2</c:v>
                </c:pt>
                <c:pt idx="38">
                  <c:v>1.358000000618631E-2</c:v>
                </c:pt>
                <c:pt idx="39">
                  <c:v>1.3877999997930601E-2</c:v>
                </c:pt>
                <c:pt idx="40">
                  <c:v>1.5260000000125729E-2</c:v>
                </c:pt>
                <c:pt idx="41">
                  <c:v>1.0117999998328742E-2</c:v>
                </c:pt>
                <c:pt idx="42">
                  <c:v>-2.1459999989019707E-3</c:v>
                </c:pt>
                <c:pt idx="43">
                  <c:v>1.4618000001064502E-2</c:v>
                </c:pt>
                <c:pt idx="44">
                  <c:v>1.6412000004493166E-2</c:v>
                </c:pt>
                <c:pt idx="45">
                  <c:v>-2.2899999967194162E-3</c:v>
                </c:pt>
                <c:pt idx="46">
                  <c:v>1.5638000004400965E-2</c:v>
                </c:pt>
                <c:pt idx="47">
                  <c:v>1.7480000024079345E-3</c:v>
                </c:pt>
                <c:pt idx="48">
                  <c:v>4.9240000080317259E-3</c:v>
                </c:pt>
                <c:pt idx="49">
                  <c:v>1.4840000003459863E-3</c:v>
                </c:pt>
                <c:pt idx="50">
                  <c:v>2.9580000045825727E-3</c:v>
                </c:pt>
                <c:pt idx="51">
                  <c:v>-4.5400000090012327E-4</c:v>
                </c:pt>
                <c:pt idx="52">
                  <c:v>4.0200000003096648E-3</c:v>
                </c:pt>
                <c:pt idx="53">
                  <c:v>5.3740000003017485E-3</c:v>
                </c:pt>
                <c:pt idx="54">
                  <c:v>5.5879999999888241E-3</c:v>
                </c:pt>
                <c:pt idx="55">
                  <c:v>2.0539999968605116E-3</c:v>
                </c:pt>
                <c:pt idx="56">
                  <c:v>8.8480000049457885E-3</c:v>
                </c:pt>
                <c:pt idx="57">
                  <c:v>5.4359999994630925E-3</c:v>
                </c:pt>
                <c:pt idx="58">
                  <c:v>-1.1677999995299615E-2</c:v>
                </c:pt>
                <c:pt idx="59">
                  <c:v>-3.5300000017741695E-3</c:v>
                </c:pt>
                <c:pt idx="60">
                  <c:v>2.2640000024694018E-3</c:v>
                </c:pt>
                <c:pt idx="61">
                  <c:v>2.6058000003104098E-2</c:v>
                </c:pt>
                <c:pt idx="63">
                  <c:v>6.0000000012223609E-3</c:v>
                </c:pt>
                <c:pt idx="64">
                  <c:v>-6.6399999996065162E-3</c:v>
                </c:pt>
                <c:pt idx="65">
                  <c:v>-5.0520000004325993E-3</c:v>
                </c:pt>
                <c:pt idx="66">
                  <c:v>-2.9660000000149012E-3</c:v>
                </c:pt>
                <c:pt idx="67">
                  <c:v>-1.2697999998636078E-2</c:v>
                </c:pt>
                <c:pt idx="68">
                  <c:v>-3.697999993164558E-3</c:v>
                </c:pt>
                <c:pt idx="69">
                  <c:v>-8.904000002075918E-3</c:v>
                </c:pt>
                <c:pt idx="70">
                  <c:v>-3.9039999974193051E-3</c:v>
                </c:pt>
                <c:pt idx="71">
                  <c:v>-1.1316000003716908E-2</c:v>
                </c:pt>
                <c:pt idx="72">
                  <c:v>1.1401999996451195E-2</c:v>
                </c:pt>
                <c:pt idx="73">
                  <c:v>-4.8699999970267527E-3</c:v>
                </c:pt>
                <c:pt idx="74">
                  <c:v>-1.7807999996875878E-2</c:v>
                </c:pt>
                <c:pt idx="75">
                  <c:v>1.9200000679120421E-4</c:v>
                </c:pt>
                <c:pt idx="76">
                  <c:v>1.5462000003026333E-2</c:v>
                </c:pt>
                <c:pt idx="77">
                  <c:v>1.2179999976069666E-3</c:v>
                </c:pt>
                <c:pt idx="78">
                  <c:v>-1.071999991836492E-3</c:v>
                </c:pt>
                <c:pt idx="79">
                  <c:v>-2.7979999991657678E-2</c:v>
                </c:pt>
                <c:pt idx="80">
                  <c:v>-1.4979999992647208E-2</c:v>
                </c:pt>
                <c:pt idx="81">
                  <c:v>-1.5563999993901234E-2</c:v>
                </c:pt>
                <c:pt idx="82">
                  <c:v>-4.2975999996997416E-2</c:v>
                </c:pt>
                <c:pt idx="83">
                  <c:v>-1.3182000002416316E-2</c:v>
                </c:pt>
                <c:pt idx="84">
                  <c:v>-8.1779999964055605E-3</c:v>
                </c:pt>
                <c:pt idx="85">
                  <c:v>-3.5219999990658835E-3</c:v>
                </c:pt>
                <c:pt idx="86">
                  <c:v>-1.8933999999717344E-2</c:v>
                </c:pt>
                <c:pt idx="87">
                  <c:v>-6.6599999991012737E-4</c:v>
                </c:pt>
                <c:pt idx="88">
                  <c:v>1.2428000001818873E-2</c:v>
                </c:pt>
                <c:pt idx="89">
                  <c:v>-1.8219999990833458E-2</c:v>
                </c:pt>
                <c:pt idx="90">
                  <c:v>-1.4102000001003034E-2</c:v>
                </c:pt>
                <c:pt idx="91">
                  <c:v>-1.0593999999400694E-2</c:v>
                </c:pt>
                <c:pt idx="92">
                  <c:v>-3.7999999767635018E-4</c:v>
                </c:pt>
                <c:pt idx="93">
                  <c:v>-6.451999994169455E-3</c:v>
                </c:pt>
                <c:pt idx="94">
                  <c:v>-1.2419999984558672E-3</c:v>
                </c:pt>
                <c:pt idx="95">
                  <c:v>7.9720000067027286E-3</c:v>
                </c:pt>
                <c:pt idx="96">
                  <c:v>5.4840000011608936E-3</c:v>
                </c:pt>
                <c:pt idx="97">
                  <c:v>1.7920000027515925E-3</c:v>
                </c:pt>
                <c:pt idx="98">
                  <c:v>-1.1779999986174516E-3</c:v>
                </c:pt>
                <c:pt idx="99">
                  <c:v>-7.5999999535270035E-4</c:v>
                </c:pt>
                <c:pt idx="100">
                  <c:v>-1.2399999832268804E-4</c:v>
                </c:pt>
                <c:pt idx="101">
                  <c:v>-1.0360000014770776E-3</c:v>
                </c:pt>
                <c:pt idx="103">
                  <c:v>-1.155999991169665E-3</c:v>
                </c:pt>
                <c:pt idx="104">
                  <c:v>2.0560000048135407E-3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56-4B0D-A68F-DEB01F719C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02">
                  <c:v>1.1800000356743112E-4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56-4B0D-A68F-DEB01F719C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5">
                  <c:v>1.1259999955655076E-3</c:v>
                </c:pt>
                <c:pt idx="106">
                  <c:v>-1.359999951091595E-4</c:v>
                </c:pt>
                <c:pt idx="107">
                  <c:v>-1.2319999950705096E-3</c:v>
                </c:pt>
                <c:pt idx="108">
                  <c:v>3.5920000009355135E-3</c:v>
                </c:pt>
                <c:pt idx="109">
                  <c:v>3.5119999956805259E-3</c:v>
                </c:pt>
                <c:pt idx="110">
                  <c:v>4.6660000080009922E-3</c:v>
                </c:pt>
                <c:pt idx="111">
                  <c:v>3.8600000043516047E-3</c:v>
                </c:pt>
                <c:pt idx="112">
                  <c:v>4.7960000010789372E-3</c:v>
                </c:pt>
                <c:pt idx="113">
                  <c:v>6.0319999975035898E-3</c:v>
                </c:pt>
                <c:pt idx="114">
                  <c:v>2.6820000057341531E-3</c:v>
                </c:pt>
                <c:pt idx="115">
                  <c:v>9.4420000023092143E-3</c:v>
                </c:pt>
                <c:pt idx="116">
                  <c:v>1.2130000002798624E-2</c:v>
                </c:pt>
                <c:pt idx="117">
                  <c:v>9.4360000075539574E-3</c:v>
                </c:pt>
                <c:pt idx="118">
                  <c:v>9.4360000075539574E-3</c:v>
                </c:pt>
                <c:pt idx="119">
                  <c:v>1.2362000001303386E-2</c:v>
                </c:pt>
                <c:pt idx="120">
                  <c:v>1.4494000002741814E-2</c:v>
                </c:pt>
                <c:pt idx="121">
                  <c:v>1.711000000796048E-2</c:v>
                </c:pt>
                <c:pt idx="122">
                  <c:v>1.802000000316184E-2</c:v>
                </c:pt>
                <c:pt idx="123">
                  <c:v>1.7310000002908055E-2</c:v>
                </c:pt>
                <c:pt idx="124">
                  <c:v>1.5920000005280599E-2</c:v>
                </c:pt>
                <c:pt idx="125">
                  <c:v>2.0356000008177944E-2</c:v>
                </c:pt>
                <c:pt idx="126">
                  <c:v>2.0012000008136965E-2</c:v>
                </c:pt>
                <c:pt idx="127">
                  <c:v>2.0728000003146008E-2</c:v>
                </c:pt>
                <c:pt idx="128">
                  <c:v>2.0557999800075777E-2</c:v>
                </c:pt>
                <c:pt idx="129">
                  <c:v>1.9381999998586252E-2</c:v>
                </c:pt>
                <c:pt idx="130">
                  <c:v>2.0130000004428439E-2</c:v>
                </c:pt>
                <c:pt idx="134">
                  <c:v>2.0479999999224674E-2</c:v>
                </c:pt>
                <c:pt idx="135">
                  <c:v>2.1961999998893589E-2</c:v>
                </c:pt>
                <c:pt idx="136">
                  <c:v>2.1734000009018928E-2</c:v>
                </c:pt>
                <c:pt idx="137">
                  <c:v>2.0756000005349051E-2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56-4B0D-A68F-DEB01F719C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131">
                  <c:v>2.0760980136401486E-2</c:v>
                </c:pt>
                <c:pt idx="132">
                  <c:v>1.9284641392005142E-2</c:v>
                </c:pt>
                <c:pt idx="133">
                  <c:v>2.0384140269015916E-2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56-4B0D-A68F-DEB01F719C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56-4B0D-A68F-DEB01F719C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56-4B0D-A68F-DEB01F719C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-1.6214528255760134E-2</c:v>
                </c:pt>
                <c:pt idx="88">
                  <c:v>-1.5530382069791054E-2</c:v>
                </c:pt>
                <c:pt idx="89">
                  <c:v>-1.5286355404732018E-2</c:v>
                </c:pt>
                <c:pt idx="90">
                  <c:v>-1.4288460649401319E-2</c:v>
                </c:pt>
                <c:pt idx="91">
                  <c:v>-1.3094473038219609E-2</c:v>
                </c:pt>
                <c:pt idx="92">
                  <c:v>-1.0841584005442439E-2</c:v>
                </c:pt>
                <c:pt idx="93">
                  <c:v>-7.4252106946159427E-3</c:v>
                </c:pt>
                <c:pt idx="94">
                  <c:v>-6.3140178447935458E-3</c:v>
                </c:pt>
                <c:pt idx="95">
                  <c:v>-6.2399383214720543E-3</c:v>
                </c:pt>
                <c:pt idx="96">
                  <c:v>-3.9042545273355704E-3</c:v>
                </c:pt>
                <c:pt idx="97">
                  <c:v>-3.146028818044995E-3</c:v>
                </c:pt>
                <c:pt idx="98">
                  <c:v>-1.7733788270879215E-3</c:v>
                </c:pt>
                <c:pt idx="99">
                  <c:v>-1.6470078755394905E-3</c:v>
                </c:pt>
                <c:pt idx="100">
                  <c:v>-9.5850407055149758E-4</c:v>
                </c:pt>
                <c:pt idx="101">
                  <c:v>-8.9749740428674007E-4</c:v>
                </c:pt>
                <c:pt idx="102">
                  <c:v>-7.3626550058701959E-4</c:v>
                </c:pt>
                <c:pt idx="103">
                  <c:v>-7.2319264353028559E-4</c:v>
                </c:pt>
                <c:pt idx="104">
                  <c:v>3.0520544493279483E-4</c:v>
                </c:pt>
                <c:pt idx="105">
                  <c:v>1.3292459143769628E-3</c:v>
                </c:pt>
                <c:pt idx="106">
                  <c:v>1.4991930561145048E-3</c:v>
                </c:pt>
                <c:pt idx="107">
                  <c:v>2.6408892390692787E-3</c:v>
                </c:pt>
                <c:pt idx="108">
                  <c:v>4.6976854159954361E-3</c:v>
                </c:pt>
                <c:pt idx="109">
                  <c:v>4.7412616061845506E-3</c:v>
                </c:pt>
                <c:pt idx="110">
                  <c:v>4.9024935098842676E-3</c:v>
                </c:pt>
                <c:pt idx="111">
                  <c:v>4.9329968430166481E-3</c:v>
                </c:pt>
                <c:pt idx="112">
                  <c:v>4.9678577951679376E-3</c:v>
                </c:pt>
                <c:pt idx="113">
                  <c:v>5.8742425511014995E-3</c:v>
                </c:pt>
                <c:pt idx="114">
                  <c:v>5.983183026574284E-3</c:v>
                </c:pt>
                <c:pt idx="115">
                  <c:v>6.985435400923893E-3</c:v>
                </c:pt>
                <c:pt idx="116">
                  <c:v>9.2252515766443298E-3</c:v>
                </c:pt>
                <c:pt idx="117">
                  <c:v>9.4126291944575148E-3</c:v>
                </c:pt>
                <c:pt idx="118">
                  <c:v>9.4126291944575148E-3</c:v>
                </c:pt>
                <c:pt idx="119">
                  <c:v>1.1604511560969925E-2</c:v>
                </c:pt>
                <c:pt idx="120">
                  <c:v>1.3765890594349958E-2</c:v>
                </c:pt>
                <c:pt idx="121">
                  <c:v>1.484658011103997E-2</c:v>
                </c:pt>
                <c:pt idx="122">
                  <c:v>1.5957772960862367E-2</c:v>
                </c:pt>
                <c:pt idx="123">
                  <c:v>1.7025389620495646E-2</c:v>
                </c:pt>
                <c:pt idx="124">
                  <c:v>1.7265058666535767E-2</c:v>
                </c:pt>
                <c:pt idx="125">
                  <c:v>1.8171443422469329E-2</c:v>
                </c:pt>
                <c:pt idx="126">
                  <c:v>1.8249880564809733E-2</c:v>
                </c:pt>
                <c:pt idx="127">
                  <c:v>1.9330570081499753E-2</c:v>
                </c:pt>
                <c:pt idx="128">
                  <c:v>1.9613815317728985E-2</c:v>
                </c:pt>
                <c:pt idx="129">
                  <c:v>2.0363325788981739E-2</c:v>
                </c:pt>
                <c:pt idx="130">
                  <c:v>2.055506102581384E-2</c:v>
                </c:pt>
                <c:pt idx="131">
                  <c:v>2.1457088162728486E-2</c:v>
                </c:pt>
                <c:pt idx="132">
                  <c:v>2.148759149586087E-2</c:v>
                </c:pt>
                <c:pt idx="133">
                  <c:v>2.1531167686049981E-2</c:v>
                </c:pt>
                <c:pt idx="134">
                  <c:v>2.153552530506889E-2</c:v>
                </c:pt>
                <c:pt idx="135">
                  <c:v>2.1627035304466035E-2</c:v>
                </c:pt>
                <c:pt idx="136">
                  <c:v>2.1696757208768614E-2</c:v>
                </c:pt>
                <c:pt idx="137">
                  <c:v>2.274694339232625E-2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56-4B0D-A68F-DEB01F719C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9">
                  <c:v>-0.27026699999987613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56-4B0D-A68F-DEB01F719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5984856"/>
        <c:axId val="1"/>
      </c:scatterChart>
      <c:valAx>
        <c:axId val="66598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742318500510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598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72382484447508"/>
          <c:y val="0.92000129214617399"/>
          <c:w val="0.738864416141530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Cap - O-C Diagr.</a:t>
            </a:r>
          </a:p>
        </c:rich>
      </c:tx>
      <c:layout>
        <c:manualLayout>
          <c:xMode val="edge"/>
          <c:yMode val="edge"/>
          <c:x val="0.3834359048677197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723926380368099"/>
          <c:w val="0.815951531309560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1.5690000000176951E-2</c:v>
                </c:pt>
                <c:pt idx="1">
                  <c:v>8.2599999986996409E-3</c:v>
                </c:pt>
                <c:pt idx="2">
                  <c:v>2.4460000022372697E-3</c:v>
                </c:pt>
                <c:pt idx="3">
                  <c:v>1.2240000003657769E-2</c:v>
                </c:pt>
                <c:pt idx="4">
                  <c:v>1.8034000000625383E-2</c:v>
                </c:pt>
                <c:pt idx="5">
                  <c:v>2.2538000001077307E-2</c:v>
                </c:pt>
                <c:pt idx="6">
                  <c:v>1.3622000002214918E-2</c:v>
                </c:pt>
                <c:pt idx="7">
                  <c:v>3.9415999999619089E-2</c:v>
                </c:pt>
                <c:pt idx="8">
                  <c:v>1.7920000002050074E-2</c:v>
                </c:pt>
                <c:pt idx="11">
                  <c:v>1.8748000002233312E-2</c:v>
                </c:pt>
                <c:pt idx="12">
                  <c:v>3.3896000000822823E-2</c:v>
                </c:pt>
                <c:pt idx="13">
                  <c:v>1.3690000003407476E-2</c:v>
                </c:pt>
                <c:pt idx="14">
                  <c:v>-2.8439999987313058E-3</c:v>
                </c:pt>
                <c:pt idx="15">
                  <c:v>8.7820000007923227E-3</c:v>
                </c:pt>
                <c:pt idx="16">
                  <c:v>-4.4239999988349155E-3</c:v>
                </c:pt>
                <c:pt idx="17">
                  <c:v>1.1957999999140156E-2</c:v>
                </c:pt>
                <c:pt idx="18">
                  <c:v>1.375200000256882E-2</c:v>
                </c:pt>
                <c:pt idx="19">
                  <c:v>1.5134000001125969E-2</c:v>
                </c:pt>
                <c:pt idx="20">
                  <c:v>3.5218000000895699E-2</c:v>
                </c:pt>
                <c:pt idx="21">
                  <c:v>1.1721999999281252E-2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6-4672-AA7F-3DDF44ADC9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  <c:pt idx="137">
                    <c:v>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  <c:pt idx="72">
                    <c:v>0</c:v>
                  </c:pt>
                  <c:pt idx="76">
                    <c:v>0</c:v>
                  </c:pt>
                  <c:pt idx="87">
                    <c:v>0</c:v>
                  </c:pt>
                  <c:pt idx="88">
                    <c:v>0</c:v>
                  </c:pt>
                  <c:pt idx="91">
                    <c:v>5.0000000000000001E-3</c:v>
                  </c:pt>
                  <c:pt idx="92">
                    <c:v>6.0000000000000001E-3</c:v>
                  </c:pt>
                  <c:pt idx="93">
                    <c:v>2E-3</c:v>
                  </c:pt>
                  <c:pt idx="94">
                    <c:v>4.0000000000000001E-3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2.9999999999999997E-4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1E-4</c:v>
                  </c:pt>
                  <c:pt idx="109">
                    <c:v>0</c:v>
                  </c:pt>
                  <c:pt idx="110">
                    <c:v>1E-4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4.0000000000000002E-4</c:v>
                  </c:pt>
                  <c:pt idx="114">
                    <c:v>4.0000000000000002E-4</c:v>
                  </c:pt>
                  <c:pt idx="115">
                    <c:v>2.0000000000000001E-4</c:v>
                  </c:pt>
                  <c:pt idx="116">
                    <c:v>0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2.9999999999999997E-4</c:v>
                  </c:pt>
                  <c:pt idx="128">
                    <c:v>1.66E-3</c:v>
                  </c:pt>
                  <c:pt idx="129">
                    <c:v>2.9999999999999997E-4</c:v>
                  </c:pt>
                  <c:pt idx="130">
                    <c:v>2.9999999999999997E-4</c:v>
                  </c:pt>
                  <c:pt idx="131">
                    <c:v>1.6379999999999999E-3</c:v>
                  </c:pt>
                  <c:pt idx="132">
                    <c:v>2.6459999999999999E-3</c:v>
                  </c:pt>
                  <c:pt idx="133">
                    <c:v>1.5889999999999999E-3</c:v>
                  </c:pt>
                  <c:pt idx="134">
                    <c:v>1E-4</c:v>
                  </c:pt>
                  <c:pt idx="135">
                    <c:v>5.9999999999999995E-4</c:v>
                  </c:pt>
                  <c:pt idx="136">
                    <c:v>2.0000000000000001E-4</c:v>
                  </c:pt>
                  <c:pt idx="13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0">
                  <c:v>8.9592000000266125E-2</c:v>
                </c:pt>
                <c:pt idx="22">
                  <c:v>2.014200000121491E-2</c:v>
                </c:pt>
                <c:pt idx="23">
                  <c:v>3.8428000003477791E-2</c:v>
                </c:pt>
                <c:pt idx="24">
                  <c:v>4.9810000000434229E-2</c:v>
                </c:pt>
                <c:pt idx="25">
                  <c:v>3.5604000000603264E-2</c:v>
                </c:pt>
                <c:pt idx="26">
                  <c:v>3.9550000001327135E-2</c:v>
                </c:pt>
                <c:pt idx="27">
                  <c:v>5.8144000002357643E-2</c:v>
                </c:pt>
                <c:pt idx="28">
                  <c:v>4.1778000006161164E-2</c:v>
                </c:pt>
                <c:pt idx="29">
                  <c:v>2.7954000004683621E-2</c:v>
                </c:pt>
                <c:pt idx="30">
                  <c:v>2.1514000007300638E-2</c:v>
                </c:pt>
                <c:pt idx="31">
                  <c:v>1.9988000000012107E-2</c:v>
                </c:pt>
                <c:pt idx="32">
                  <c:v>1.4370000004419126E-2</c:v>
                </c:pt>
                <c:pt idx="33">
                  <c:v>2.995799999916926E-2</c:v>
                </c:pt>
                <c:pt idx="34">
                  <c:v>1.1050000000977889E-2</c:v>
                </c:pt>
                <c:pt idx="35">
                  <c:v>1.3136000001395587E-2</c:v>
                </c:pt>
                <c:pt idx="36">
                  <c:v>1.5105999998922925E-2</c:v>
                </c:pt>
                <c:pt idx="37">
                  <c:v>2.0403999995323829E-2</c:v>
                </c:pt>
                <c:pt idx="38">
                  <c:v>1.358000000618631E-2</c:v>
                </c:pt>
                <c:pt idx="39">
                  <c:v>1.3877999997930601E-2</c:v>
                </c:pt>
                <c:pt idx="40">
                  <c:v>1.5260000000125729E-2</c:v>
                </c:pt>
                <c:pt idx="41">
                  <c:v>1.0117999998328742E-2</c:v>
                </c:pt>
                <c:pt idx="42">
                  <c:v>-2.1459999989019707E-3</c:v>
                </c:pt>
                <c:pt idx="43">
                  <c:v>1.4618000001064502E-2</c:v>
                </c:pt>
                <c:pt idx="44">
                  <c:v>1.6412000004493166E-2</c:v>
                </c:pt>
                <c:pt idx="45">
                  <c:v>-2.2899999967194162E-3</c:v>
                </c:pt>
                <c:pt idx="46">
                  <c:v>1.5638000004400965E-2</c:v>
                </c:pt>
                <c:pt idx="47">
                  <c:v>1.7480000024079345E-3</c:v>
                </c:pt>
                <c:pt idx="48">
                  <c:v>4.9240000080317259E-3</c:v>
                </c:pt>
                <c:pt idx="49">
                  <c:v>1.4840000003459863E-3</c:v>
                </c:pt>
                <c:pt idx="50">
                  <c:v>2.9580000045825727E-3</c:v>
                </c:pt>
                <c:pt idx="51">
                  <c:v>-4.5400000090012327E-4</c:v>
                </c:pt>
                <c:pt idx="52">
                  <c:v>4.0200000003096648E-3</c:v>
                </c:pt>
                <c:pt idx="53">
                  <c:v>5.3740000003017485E-3</c:v>
                </c:pt>
                <c:pt idx="54">
                  <c:v>5.5879999999888241E-3</c:v>
                </c:pt>
                <c:pt idx="55">
                  <c:v>2.0539999968605116E-3</c:v>
                </c:pt>
                <c:pt idx="56">
                  <c:v>8.8480000049457885E-3</c:v>
                </c:pt>
                <c:pt idx="57">
                  <c:v>5.4359999994630925E-3</c:v>
                </c:pt>
                <c:pt idx="58">
                  <c:v>-1.1677999995299615E-2</c:v>
                </c:pt>
                <c:pt idx="59">
                  <c:v>-3.5300000017741695E-3</c:v>
                </c:pt>
                <c:pt idx="60">
                  <c:v>2.2640000024694018E-3</c:v>
                </c:pt>
                <c:pt idx="61">
                  <c:v>2.6058000003104098E-2</c:v>
                </c:pt>
                <c:pt idx="63">
                  <c:v>6.0000000012223609E-3</c:v>
                </c:pt>
                <c:pt idx="64">
                  <c:v>-6.6399999996065162E-3</c:v>
                </c:pt>
                <c:pt idx="65">
                  <c:v>-5.0520000004325993E-3</c:v>
                </c:pt>
                <c:pt idx="66">
                  <c:v>-2.9660000000149012E-3</c:v>
                </c:pt>
                <c:pt idx="67">
                  <c:v>-1.2697999998636078E-2</c:v>
                </c:pt>
                <c:pt idx="68">
                  <c:v>-3.697999993164558E-3</c:v>
                </c:pt>
                <c:pt idx="69">
                  <c:v>-8.904000002075918E-3</c:v>
                </c:pt>
                <c:pt idx="70">
                  <c:v>-3.9039999974193051E-3</c:v>
                </c:pt>
                <c:pt idx="71">
                  <c:v>-1.1316000003716908E-2</c:v>
                </c:pt>
                <c:pt idx="72">
                  <c:v>1.1401999996451195E-2</c:v>
                </c:pt>
                <c:pt idx="73">
                  <c:v>-4.8699999970267527E-3</c:v>
                </c:pt>
                <c:pt idx="74">
                  <c:v>-1.7807999996875878E-2</c:v>
                </c:pt>
                <c:pt idx="75">
                  <c:v>1.9200000679120421E-4</c:v>
                </c:pt>
                <c:pt idx="76">
                  <c:v>1.5462000003026333E-2</c:v>
                </c:pt>
                <c:pt idx="77">
                  <c:v>1.2179999976069666E-3</c:v>
                </c:pt>
                <c:pt idx="78">
                  <c:v>-1.071999991836492E-3</c:v>
                </c:pt>
                <c:pt idx="79">
                  <c:v>-2.7979999991657678E-2</c:v>
                </c:pt>
                <c:pt idx="80">
                  <c:v>-1.4979999992647208E-2</c:v>
                </c:pt>
                <c:pt idx="81">
                  <c:v>-1.5563999993901234E-2</c:v>
                </c:pt>
                <c:pt idx="82">
                  <c:v>-4.2975999996997416E-2</c:v>
                </c:pt>
                <c:pt idx="83">
                  <c:v>-1.3182000002416316E-2</c:v>
                </c:pt>
                <c:pt idx="84">
                  <c:v>-8.1779999964055605E-3</c:v>
                </c:pt>
                <c:pt idx="85">
                  <c:v>-3.5219999990658835E-3</c:v>
                </c:pt>
                <c:pt idx="86">
                  <c:v>-1.8933999999717344E-2</c:v>
                </c:pt>
                <c:pt idx="87">
                  <c:v>-6.6599999991012737E-4</c:v>
                </c:pt>
                <c:pt idx="88">
                  <c:v>1.2428000001818873E-2</c:v>
                </c:pt>
                <c:pt idx="89">
                  <c:v>-1.8219999990833458E-2</c:v>
                </c:pt>
                <c:pt idx="90">
                  <c:v>-1.4102000001003034E-2</c:v>
                </c:pt>
                <c:pt idx="91">
                  <c:v>-1.0593999999400694E-2</c:v>
                </c:pt>
                <c:pt idx="92">
                  <c:v>-3.7999999767635018E-4</c:v>
                </c:pt>
                <c:pt idx="93">
                  <c:v>-6.451999994169455E-3</c:v>
                </c:pt>
                <c:pt idx="94">
                  <c:v>-1.2419999984558672E-3</c:v>
                </c:pt>
                <c:pt idx="95">
                  <c:v>7.9720000067027286E-3</c:v>
                </c:pt>
                <c:pt idx="96">
                  <c:v>5.4840000011608936E-3</c:v>
                </c:pt>
                <c:pt idx="97">
                  <c:v>1.7920000027515925E-3</c:v>
                </c:pt>
                <c:pt idx="98">
                  <c:v>-1.1779999986174516E-3</c:v>
                </c:pt>
                <c:pt idx="99">
                  <c:v>-7.5999999535270035E-4</c:v>
                </c:pt>
                <c:pt idx="100">
                  <c:v>-1.2399999832268804E-4</c:v>
                </c:pt>
                <c:pt idx="101">
                  <c:v>-1.0360000014770776E-3</c:v>
                </c:pt>
                <c:pt idx="103">
                  <c:v>-1.155999991169665E-3</c:v>
                </c:pt>
                <c:pt idx="104">
                  <c:v>2.0560000048135407E-3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6-4672-AA7F-3DDF44ADC9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02">
                  <c:v>1.1800000356743112E-4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6-4672-AA7F-3DDF44ADC9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5">
                  <c:v>1.1259999955655076E-3</c:v>
                </c:pt>
                <c:pt idx="106">
                  <c:v>-1.359999951091595E-4</c:v>
                </c:pt>
                <c:pt idx="107">
                  <c:v>-1.2319999950705096E-3</c:v>
                </c:pt>
                <c:pt idx="108">
                  <c:v>3.5920000009355135E-3</c:v>
                </c:pt>
                <c:pt idx="109">
                  <c:v>3.5119999956805259E-3</c:v>
                </c:pt>
                <c:pt idx="110">
                  <c:v>4.6660000080009922E-3</c:v>
                </c:pt>
                <c:pt idx="111">
                  <c:v>3.8600000043516047E-3</c:v>
                </c:pt>
                <c:pt idx="112">
                  <c:v>4.7960000010789372E-3</c:v>
                </c:pt>
                <c:pt idx="113">
                  <c:v>6.0319999975035898E-3</c:v>
                </c:pt>
                <c:pt idx="114">
                  <c:v>2.6820000057341531E-3</c:v>
                </c:pt>
                <c:pt idx="115">
                  <c:v>9.4420000023092143E-3</c:v>
                </c:pt>
                <c:pt idx="116">
                  <c:v>1.2130000002798624E-2</c:v>
                </c:pt>
                <c:pt idx="117">
                  <c:v>9.4360000075539574E-3</c:v>
                </c:pt>
                <c:pt idx="118">
                  <c:v>9.4360000075539574E-3</c:v>
                </c:pt>
                <c:pt idx="119">
                  <c:v>1.2362000001303386E-2</c:v>
                </c:pt>
                <c:pt idx="120">
                  <c:v>1.4494000002741814E-2</c:v>
                </c:pt>
                <c:pt idx="121">
                  <c:v>1.711000000796048E-2</c:v>
                </c:pt>
                <c:pt idx="122">
                  <c:v>1.802000000316184E-2</c:v>
                </c:pt>
                <c:pt idx="123">
                  <c:v>1.7310000002908055E-2</c:v>
                </c:pt>
                <c:pt idx="124">
                  <c:v>1.5920000005280599E-2</c:v>
                </c:pt>
                <c:pt idx="125">
                  <c:v>2.0356000008177944E-2</c:v>
                </c:pt>
                <c:pt idx="126">
                  <c:v>2.0012000008136965E-2</c:v>
                </c:pt>
                <c:pt idx="127">
                  <c:v>2.0728000003146008E-2</c:v>
                </c:pt>
                <c:pt idx="128">
                  <c:v>2.0557999800075777E-2</c:v>
                </c:pt>
                <c:pt idx="129">
                  <c:v>1.9381999998586252E-2</c:v>
                </c:pt>
                <c:pt idx="130">
                  <c:v>2.0130000004428439E-2</c:v>
                </c:pt>
                <c:pt idx="134">
                  <c:v>2.0479999999224674E-2</c:v>
                </c:pt>
                <c:pt idx="135">
                  <c:v>2.1961999998893589E-2</c:v>
                </c:pt>
                <c:pt idx="136">
                  <c:v>2.1734000009018928E-2</c:v>
                </c:pt>
                <c:pt idx="137">
                  <c:v>2.0756000005349051E-2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6-4672-AA7F-3DDF44ADC9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  <c:pt idx="131">
                  <c:v>2.0760980136401486E-2</c:v>
                </c:pt>
                <c:pt idx="132">
                  <c:v>1.9284641392005142E-2</c:v>
                </c:pt>
                <c:pt idx="133">
                  <c:v>2.0384140269015916E-2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6-4672-AA7F-3DDF44ADC9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6-4672-AA7F-3DDF44ADC9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46">
                    <c:v>0</c:v>
                  </c:pt>
                  <c:pt idx="54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6-4672-AA7F-3DDF44ADC9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87">
                  <c:v>-1.6214528255760134E-2</c:v>
                </c:pt>
                <c:pt idx="88">
                  <c:v>-1.5530382069791054E-2</c:v>
                </c:pt>
                <c:pt idx="89">
                  <c:v>-1.5286355404732018E-2</c:v>
                </c:pt>
                <c:pt idx="90">
                  <c:v>-1.4288460649401319E-2</c:v>
                </c:pt>
                <c:pt idx="91">
                  <c:v>-1.3094473038219609E-2</c:v>
                </c:pt>
                <c:pt idx="92">
                  <c:v>-1.0841584005442439E-2</c:v>
                </c:pt>
                <c:pt idx="93">
                  <c:v>-7.4252106946159427E-3</c:v>
                </c:pt>
                <c:pt idx="94">
                  <c:v>-6.3140178447935458E-3</c:v>
                </c:pt>
                <c:pt idx="95">
                  <c:v>-6.2399383214720543E-3</c:v>
                </c:pt>
                <c:pt idx="96">
                  <c:v>-3.9042545273355704E-3</c:v>
                </c:pt>
                <c:pt idx="97">
                  <c:v>-3.146028818044995E-3</c:v>
                </c:pt>
                <c:pt idx="98">
                  <c:v>-1.7733788270879215E-3</c:v>
                </c:pt>
                <c:pt idx="99">
                  <c:v>-1.6470078755394905E-3</c:v>
                </c:pt>
                <c:pt idx="100">
                  <c:v>-9.5850407055149758E-4</c:v>
                </c:pt>
                <c:pt idx="101">
                  <c:v>-8.9749740428674007E-4</c:v>
                </c:pt>
                <c:pt idx="102">
                  <c:v>-7.3626550058701959E-4</c:v>
                </c:pt>
                <c:pt idx="103">
                  <c:v>-7.2319264353028559E-4</c:v>
                </c:pt>
                <c:pt idx="104">
                  <c:v>3.0520544493279483E-4</c:v>
                </c:pt>
                <c:pt idx="105">
                  <c:v>1.3292459143769628E-3</c:v>
                </c:pt>
                <c:pt idx="106">
                  <c:v>1.4991930561145048E-3</c:v>
                </c:pt>
                <c:pt idx="107">
                  <c:v>2.6408892390692787E-3</c:v>
                </c:pt>
                <c:pt idx="108">
                  <c:v>4.6976854159954361E-3</c:v>
                </c:pt>
                <c:pt idx="109">
                  <c:v>4.7412616061845506E-3</c:v>
                </c:pt>
                <c:pt idx="110">
                  <c:v>4.9024935098842676E-3</c:v>
                </c:pt>
                <c:pt idx="111">
                  <c:v>4.9329968430166481E-3</c:v>
                </c:pt>
                <c:pt idx="112">
                  <c:v>4.9678577951679376E-3</c:v>
                </c:pt>
                <c:pt idx="113">
                  <c:v>5.8742425511014995E-3</c:v>
                </c:pt>
                <c:pt idx="114">
                  <c:v>5.983183026574284E-3</c:v>
                </c:pt>
                <c:pt idx="115">
                  <c:v>6.985435400923893E-3</c:v>
                </c:pt>
                <c:pt idx="116">
                  <c:v>9.2252515766443298E-3</c:v>
                </c:pt>
                <c:pt idx="117">
                  <c:v>9.4126291944575148E-3</c:v>
                </c:pt>
                <c:pt idx="118">
                  <c:v>9.4126291944575148E-3</c:v>
                </c:pt>
                <c:pt idx="119">
                  <c:v>1.1604511560969925E-2</c:v>
                </c:pt>
                <c:pt idx="120">
                  <c:v>1.3765890594349958E-2</c:v>
                </c:pt>
                <c:pt idx="121">
                  <c:v>1.484658011103997E-2</c:v>
                </c:pt>
                <c:pt idx="122">
                  <c:v>1.5957772960862367E-2</c:v>
                </c:pt>
                <c:pt idx="123">
                  <c:v>1.7025389620495646E-2</c:v>
                </c:pt>
                <c:pt idx="124">
                  <c:v>1.7265058666535767E-2</c:v>
                </c:pt>
                <c:pt idx="125">
                  <c:v>1.8171443422469329E-2</c:v>
                </c:pt>
                <c:pt idx="126">
                  <c:v>1.8249880564809733E-2</c:v>
                </c:pt>
                <c:pt idx="127">
                  <c:v>1.9330570081499753E-2</c:v>
                </c:pt>
                <c:pt idx="128">
                  <c:v>1.9613815317728985E-2</c:v>
                </c:pt>
                <c:pt idx="129">
                  <c:v>2.0363325788981739E-2</c:v>
                </c:pt>
                <c:pt idx="130">
                  <c:v>2.055506102581384E-2</c:v>
                </c:pt>
                <c:pt idx="131">
                  <c:v>2.1457088162728486E-2</c:v>
                </c:pt>
                <c:pt idx="132">
                  <c:v>2.148759149586087E-2</c:v>
                </c:pt>
                <c:pt idx="133">
                  <c:v>2.1531167686049981E-2</c:v>
                </c:pt>
                <c:pt idx="134">
                  <c:v>2.153552530506889E-2</c:v>
                </c:pt>
                <c:pt idx="135">
                  <c:v>2.1627035304466035E-2</c:v>
                </c:pt>
                <c:pt idx="136">
                  <c:v>2.1696757208768614E-2</c:v>
                </c:pt>
                <c:pt idx="137">
                  <c:v>2.274694339232625E-2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6-4672-AA7F-3DDF44ADC9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-13305</c:v>
                </c:pt>
                <c:pt idx="1">
                  <c:v>-12970</c:v>
                </c:pt>
                <c:pt idx="2">
                  <c:v>-12287</c:v>
                </c:pt>
                <c:pt idx="3">
                  <c:v>-12280</c:v>
                </c:pt>
                <c:pt idx="4">
                  <c:v>-12273</c:v>
                </c:pt>
                <c:pt idx="5">
                  <c:v>-12261</c:v>
                </c:pt>
                <c:pt idx="6">
                  <c:v>-12259</c:v>
                </c:pt>
                <c:pt idx="7">
                  <c:v>-12252</c:v>
                </c:pt>
                <c:pt idx="8">
                  <c:v>-12240</c:v>
                </c:pt>
                <c:pt idx="9">
                  <c:v>-12238.5</c:v>
                </c:pt>
                <c:pt idx="10">
                  <c:v>-12224</c:v>
                </c:pt>
                <c:pt idx="11">
                  <c:v>-12006</c:v>
                </c:pt>
                <c:pt idx="12">
                  <c:v>-11812</c:v>
                </c:pt>
                <c:pt idx="13">
                  <c:v>-11805</c:v>
                </c:pt>
                <c:pt idx="14">
                  <c:v>-11782</c:v>
                </c:pt>
                <c:pt idx="15">
                  <c:v>-11779</c:v>
                </c:pt>
                <c:pt idx="16">
                  <c:v>-11772</c:v>
                </c:pt>
                <c:pt idx="17">
                  <c:v>-11751</c:v>
                </c:pt>
                <c:pt idx="18">
                  <c:v>-11744</c:v>
                </c:pt>
                <c:pt idx="19">
                  <c:v>-11723</c:v>
                </c:pt>
                <c:pt idx="20">
                  <c:v>-11721</c:v>
                </c:pt>
                <c:pt idx="21">
                  <c:v>-11709</c:v>
                </c:pt>
                <c:pt idx="22">
                  <c:v>-10699</c:v>
                </c:pt>
                <c:pt idx="23">
                  <c:v>-9966</c:v>
                </c:pt>
                <c:pt idx="24">
                  <c:v>-9945</c:v>
                </c:pt>
                <c:pt idx="25">
                  <c:v>-9938</c:v>
                </c:pt>
                <c:pt idx="26">
                  <c:v>-8975</c:v>
                </c:pt>
                <c:pt idx="27">
                  <c:v>-7068</c:v>
                </c:pt>
                <c:pt idx="28">
                  <c:v>-2541</c:v>
                </c:pt>
                <c:pt idx="29">
                  <c:v>-2513</c:v>
                </c:pt>
                <c:pt idx="30">
                  <c:v>-2333</c:v>
                </c:pt>
                <c:pt idx="31">
                  <c:v>-2286</c:v>
                </c:pt>
                <c:pt idx="32">
                  <c:v>-2265</c:v>
                </c:pt>
                <c:pt idx="33">
                  <c:v>-2251</c:v>
                </c:pt>
                <c:pt idx="34">
                  <c:v>-2225</c:v>
                </c:pt>
                <c:pt idx="35">
                  <c:v>-2092</c:v>
                </c:pt>
                <c:pt idx="36">
                  <c:v>-2057</c:v>
                </c:pt>
                <c:pt idx="37">
                  <c:v>-2038</c:v>
                </c:pt>
                <c:pt idx="38">
                  <c:v>-2010</c:v>
                </c:pt>
                <c:pt idx="39">
                  <c:v>-1991</c:v>
                </c:pt>
                <c:pt idx="40">
                  <c:v>-1970</c:v>
                </c:pt>
                <c:pt idx="41">
                  <c:v>-1771</c:v>
                </c:pt>
                <c:pt idx="42">
                  <c:v>-1563</c:v>
                </c:pt>
                <c:pt idx="43">
                  <c:v>-1521</c:v>
                </c:pt>
                <c:pt idx="44">
                  <c:v>-1514</c:v>
                </c:pt>
                <c:pt idx="45">
                  <c:v>-1495</c:v>
                </c:pt>
                <c:pt idx="46">
                  <c:v>-1211</c:v>
                </c:pt>
                <c:pt idx="47">
                  <c:v>-1006</c:v>
                </c:pt>
                <c:pt idx="48">
                  <c:v>-978</c:v>
                </c:pt>
                <c:pt idx="49">
                  <c:v>-798</c:v>
                </c:pt>
                <c:pt idx="50">
                  <c:v>-751</c:v>
                </c:pt>
                <c:pt idx="51">
                  <c:v>-737</c:v>
                </c:pt>
                <c:pt idx="52">
                  <c:v>-690</c:v>
                </c:pt>
                <c:pt idx="53">
                  <c:v>-503</c:v>
                </c:pt>
                <c:pt idx="54">
                  <c:v>-486</c:v>
                </c:pt>
                <c:pt idx="55">
                  <c:v>-463</c:v>
                </c:pt>
                <c:pt idx="56">
                  <c:v>-456</c:v>
                </c:pt>
                <c:pt idx="57">
                  <c:v>-442</c:v>
                </c:pt>
                <c:pt idx="58">
                  <c:v>-409</c:v>
                </c:pt>
                <c:pt idx="59">
                  <c:v>-215</c:v>
                </c:pt>
                <c:pt idx="60">
                  <c:v>-208</c:v>
                </c:pt>
                <c:pt idx="61">
                  <c:v>-201</c:v>
                </c:pt>
                <c:pt idx="62">
                  <c:v>0</c:v>
                </c:pt>
                <c:pt idx="63">
                  <c:v>0</c:v>
                </c:pt>
                <c:pt idx="64">
                  <c:v>80</c:v>
                </c:pt>
                <c:pt idx="65">
                  <c:v>94</c:v>
                </c:pt>
                <c:pt idx="66">
                  <c:v>227</c:v>
                </c:pt>
                <c:pt idx="67">
                  <c:v>281</c:v>
                </c:pt>
                <c:pt idx="68">
                  <c:v>281</c:v>
                </c:pt>
                <c:pt idx="69">
                  <c:v>288</c:v>
                </c:pt>
                <c:pt idx="70">
                  <c:v>288</c:v>
                </c:pt>
                <c:pt idx="71">
                  <c:v>302</c:v>
                </c:pt>
                <c:pt idx="72">
                  <c:v>331</c:v>
                </c:pt>
                <c:pt idx="73">
                  <c:v>515</c:v>
                </c:pt>
                <c:pt idx="74">
                  <c:v>576</c:v>
                </c:pt>
                <c:pt idx="75">
                  <c:v>576</c:v>
                </c:pt>
                <c:pt idx="76">
                  <c:v>761</c:v>
                </c:pt>
                <c:pt idx="77">
                  <c:v>779</c:v>
                </c:pt>
                <c:pt idx="78">
                  <c:v>784</c:v>
                </c:pt>
                <c:pt idx="79">
                  <c:v>810</c:v>
                </c:pt>
                <c:pt idx="80">
                  <c:v>810</c:v>
                </c:pt>
                <c:pt idx="81">
                  <c:v>1058</c:v>
                </c:pt>
                <c:pt idx="82">
                  <c:v>1072</c:v>
                </c:pt>
                <c:pt idx="83">
                  <c:v>1079</c:v>
                </c:pt>
                <c:pt idx="84">
                  <c:v>1341</c:v>
                </c:pt>
                <c:pt idx="85">
                  <c:v>1809</c:v>
                </c:pt>
                <c:pt idx="86">
                  <c:v>1823</c:v>
                </c:pt>
                <c:pt idx="87">
                  <c:v>1877</c:v>
                </c:pt>
                <c:pt idx="88">
                  <c:v>2034</c:v>
                </c:pt>
                <c:pt idx="89">
                  <c:v>2090</c:v>
                </c:pt>
                <c:pt idx="90">
                  <c:v>2319</c:v>
                </c:pt>
                <c:pt idx="91">
                  <c:v>2593</c:v>
                </c:pt>
                <c:pt idx="92">
                  <c:v>3110</c:v>
                </c:pt>
                <c:pt idx="93">
                  <c:v>3894</c:v>
                </c:pt>
                <c:pt idx="94">
                  <c:v>4149</c:v>
                </c:pt>
                <c:pt idx="95">
                  <c:v>4166</c:v>
                </c:pt>
                <c:pt idx="96">
                  <c:v>4702</c:v>
                </c:pt>
                <c:pt idx="97">
                  <c:v>4876</c:v>
                </c:pt>
                <c:pt idx="98">
                  <c:v>5191</c:v>
                </c:pt>
                <c:pt idx="99">
                  <c:v>5220</c:v>
                </c:pt>
                <c:pt idx="100">
                  <c:v>5378</c:v>
                </c:pt>
                <c:pt idx="101">
                  <c:v>5392</c:v>
                </c:pt>
                <c:pt idx="102">
                  <c:v>5429</c:v>
                </c:pt>
                <c:pt idx="103">
                  <c:v>5432</c:v>
                </c:pt>
                <c:pt idx="104">
                  <c:v>5668</c:v>
                </c:pt>
                <c:pt idx="105">
                  <c:v>5903</c:v>
                </c:pt>
                <c:pt idx="106">
                  <c:v>5942</c:v>
                </c:pt>
                <c:pt idx="107">
                  <c:v>6204</c:v>
                </c:pt>
                <c:pt idx="108">
                  <c:v>6676</c:v>
                </c:pt>
                <c:pt idx="109">
                  <c:v>6686</c:v>
                </c:pt>
                <c:pt idx="110">
                  <c:v>6723</c:v>
                </c:pt>
                <c:pt idx="111">
                  <c:v>6730</c:v>
                </c:pt>
                <c:pt idx="112">
                  <c:v>6738</c:v>
                </c:pt>
                <c:pt idx="113">
                  <c:v>6946</c:v>
                </c:pt>
                <c:pt idx="114">
                  <c:v>6971</c:v>
                </c:pt>
                <c:pt idx="115">
                  <c:v>7201</c:v>
                </c:pt>
                <c:pt idx="116">
                  <c:v>7715</c:v>
                </c:pt>
                <c:pt idx="117">
                  <c:v>7758</c:v>
                </c:pt>
                <c:pt idx="118">
                  <c:v>7758</c:v>
                </c:pt>
                <c:pt idx="119">
                  <c:v>8261</c:v>
                </c:pt>
                <c:pt idx="120">
                  <c:v>8757</c:v>
                </c:pt>
                <c:pt idx="121">
                  <c:v>9005</c:v>
                </c:pt>
                <c:pt idx="122">
                  <c:v>9260</c:v>
                </c:pt>
                <c:pt idx="123">
                  <c:v>9505</c:v>
                </c:pt>
                <c:pt idx="124">
                  <c:v>9560</c:v>
                </c:pt>
                <c:pt idx="125">
                  <c:v>9768</c:v>
                </c:pt>
                <c:pt idx="126">
                  <c:v>9786</c:v>
                </c:pt>
                <c:pt idx="127">
                  <c:v>10034</c:v>
                </c:pt>
                <c:pt idx="128">
                  <c:v>10099</c:v>
                </c:pt>
                <c:pt idx="129">
                  <c:v>10271</c:v>
                </c:pt>
                <c:pt idx="130">
                  <c:v>10315</c:v>
                </c:pt>
                <c:pt idx="131">
                  <c:v>10522</c:v>
                </c:pt>
                <c:pt idx="132">
                  <c:v>10529</c:v>
                </c:pt>
                <c:pt idx="133">
                  <c:v>10539</c:v>
                </c:pt>
                <c:pt idx="134">
                  <c:v>10540</c:v>
                </c:pt>
                <c:pt idx="135">
                  <c:v>10561</c:v>
                </c:pt>
                <c:pt idx="136">
                  <c:v>10577</c:v>
                </c:pt>
                <c:pt idx="137">
                  <c:v>10818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9">
                  <c:v>-0.27026699999987613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76-4672-AA7F-3DDF44AD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563832"/>
        <c:axId val="1"/>
      </c:scatterChart>
      <c:valAx>
        <c:axId val="597563832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064570149589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7563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98175611484146"/>
          <c:y val="0.92024539877300615"/>
          <c:w val="0.7377305444181441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333375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FC80A1D2-DEC2-954A-5143-C5FEC2DF9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428625</xdr:colOff>
      <xdr:row>0</xdr:row>
      <xdr:rowOff>19050</xdr:rowOff>
    </xdr:from>
    <xdr:to>
      <xdr:col>26</xdr:col>
      <xdr:colOff>466725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45FF55D-A559-151F-EF4A-942959D3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97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www.konkoly.hu/cgi-bin/IBVS?5897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solj.cetus-net.org/no38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897" TargetMode="External"/><Relationship Id="rId11" Type="http://schemas.openxmlformats.org/officeDocument/2006/relationships/hyperlink" Target="http://www.konkoly.hu/cgi-bin/IBVS?5897" TargetMode="External"/><Relationship Id="rId5" Type="http://schemas.openxmlformats.org/officeDocument/2006/relationships/hyperlink" Target="http://vsolj.cetus-net.org/no43.pdf" TargetMode="External"/><Relationship Id="rId10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5364" TargetMode="External"/><Relationship Id="rId9" Type="http://schemas.openxmlformats.org/officeDocument/2006/relationships/hyperlink" Target="http://www.aavso.org/sites/default/files/jaavso/v36n2/1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94"/>
  <sheetViews>
    <sheetView tabSelected="1" workbookViewId="0">
      <pane xSplit="14" ySplit="22" topLeftCell="O14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80</v>
      </c>
    </row>
    <row r="2" spans="1:6">
      <c r="A2" t="s">
        <v>25</v>
      </c>
      <c r="B2" s="9" t="s">
        <v>79</v>
      </c>
    </row>
    <row r="4" spans="1:6" ht="14.25" thickTop="1" thickBot="1">
      <c r="A4" s="6" t="s">
        <v>1</v>
      </c>
      <c r="C4" s="3">
        <v>44793.451999999997</v>
      </c>
      <c r="D4" s="4">
        <v>1.4234498</v>
      </c>
    </row>
    <row r="5" spans="1:6" ht="13.5" thickTop="1">
      <c r="A5" s="11" t="s">
        <v>83</v>
      </c>
      <c r="B5" s="12"/>
      <c r="C5" s="13">
        <v>-9.5</v>
      </c>
      <c r="D5" s="12" t="s">
        <v>84</v>
      </c>
    </row>
    <row r="6" spans="1:6">
      <c r="A6" s="6" t="s">
        <v>2</v>
      </c>
    </row>
    <row r="7" spans="1:6">
      <c r="A7" t="s">
        <v>3</v>
      </c>
      <c r="C7">
        <v>44793.451999999997</v>
      </c>
      <c r="D7" s="70" t="s">
        <v>530</v>
      </c>
    </row>
    <row r="8" spans="1:6">
      <c r="A8" t="s">
        <v>4</v>
      </c>
      <c r="C8">
        <v>1.4234579999999999</v>
      </c>
      <c r="D8" s="70" t="s">
        <v>530</v>
      </c>
      <c r="F8" s="70"/>
    </row>
    <row r="9" spans="1:6">
      <c r="A9" s="26" t="s">
        <v>87</v>
      </c>
      <c r="B9" s="27">
        <v>119</v>
      </c>
      <c r="C9" s="16" t="str">
        <f>"F"&amp;B9</f>
        <v>F119</v>
      </c>
      <c r="D9" s="17" t="str">
        <f>"G"&amp;B9</f>
        <v>G119</v>
      </c>
    </row>
    <row r="10" spans="1:6" ht="13.5" thickBot="1">
      <c r="A10" s="12"/>
      <c r="B10" s="12"/>
      <c r="C10" s="5" t="s">
        <v>21</v>
      </c>
      <c r="D10" s="5" t="s">
        <v>22</v>
      </c>
      <c r="E10" s="12"/>
    </row>
    <row r="11" spans="1:6">
      <c r="A11" s="12" t="s">
        <v>17</v>
      </c>
      <c r="B11" s="12"/>
      <c r="C11" s="14">
        <f ca="1">INTERCEPT(INDIRECT($D$9):G986,INDIRECT($C$9):F986)</f>
        <v>-2.439377915425674E-2</v>
      </c>
      <c r="D11" s="15"/>
      <c r="E11" s="12"/>
    </row>
    <row r="12" spans="1:6">
      <c r="A12" s="12" t="s">
        <v>18</v>
      </c>
      <c r="B12" s="12"/>
      <c r="C12" s="14">
        <f ca="1">SLOPE(INDIRECT($D$9):G986,INDIRECT($C$9):F986)</f>
        <v>4.3576190189113504E-6</v>
      </c>
      <c r="D12" s="15"/>
      <c r="E12" s="71" t="s">
        <v>527</v>
      </c>
      <c r="F12" s="72" t="s">
        <v>531</v>
      </c>
    </row>
    <row r="13" spans="1:6">
      <c r="A13" s="12" t="s">
        <v>20</v>
      </c>
      <c r="B13" s="12"/>
      <c r="C13" s="15" t="s">
        <v>15</v>
      </c>
      <c r="E13" s="73" t="s">
        <v>88</v>
      </c>
      <c r="F13" s="74">
        <v>1</v>
      </c>
    </row>
    <row r="14" spans="1:6">
      <c r="A14" s="12"/>
      <c r="B14" s="12"/>
      <c r="C14" s="12"/>
      <c r="E14" s="73" t="s">
        <v>85</v>
      </c>
      <c r="F14" s="75">
        <f ca="1">NOW()+15018.5+$C$5/24</f>
        <v>60574.673397453698</v>
      </c>
    </row>
    <row r="15" spans="1:6">
      <c r="A15" s="18" t="s">
        <v>19</v>
      </c>
      <c r="B15" s="12"/>
      <c r="C15" s="19">
        <f ca="1">(C7+C11)+(C8+C12)*INT(MAX(F21:F3527))</f>
        <v>60192.443390943386</v>
      </c>
      <c r="E15" s="73" t="s">
        <v>89</v>
      </c>
      <c r="F15" s="75">
        <f ca="1">ROUND(2*($F$14-$C$7)/$C$8,0)/2+$F$13</f>
        <v>11087.5</v>
      </c>
    </row>
    <row r="16" spans="1:6">
      <c r="A16" s="21" t="s">
        <v>5</v>
      </c>
      <c r="B16" s="12"/>
      <c r="C16" s="22">
        <f ca="1">+C8+C12</f>
        <v>1.4234623576190188</v>
      </c>
      <c r="E16" s="73" t="s">
        <v>86</v>
      </c>
      <c r="F16" s="75">
        <f ca="1">ROUND(2*($F$14-$C$15)/$C$16,0)/2+$F$13</f>
        <v>269.5</v>
      </c>
    </row>
    <row r="17" spans="1:21" ht="13.5" thickBot="1">
      <c r="A17" s="20" t="s">
        <v>81</v>
      </c>
      <c r="B17" s="12"/>
      <c r="C17" s="12">
        <f>COUNT(C21:C2185)</f>
        <v>138</v>
      </c>
      <c r="E17" s="73" t="s">
        <v>528</v>
      </c>
      <c r="F17" s="76">
        <f ca="1">+$C$15+$C$16*$F$16-15018.5-$C$5/24</f>
        <v>45557.962329655049</v>
      </c>
    </row>
    <row r="18" spans="1:21" ht="14.25" thickTop="1" thickBot="1">
      <c r="A18" s="21" t="s">
        <v>6</v>
      </c>
      <c r="B18" s="12"/>
      <c r="C18" s="24">
        <f ca="1">+C15</f>
        <v>60192.443390943386</v>
      </c>
      <c r="D18" s="25">
        <f ca="1">+C16</f>
        <v>1.4234623576190188</v>
      </c>
      <c r="E18" s="78" t="s">
        <v>529</v>
      </c>
      <c r="F18" s="77">
        <f ca="1">+($C$15+$C$16*$F$16)-($C$16/2)-15018.5-$C$5/24</f>
        <v>45557.250598476239</v>
      </c>
    </row>
    <row r="19" spans="1:21" ht="13.5" thickTop="1">
      <c r="E19" s="20"/>
      <c r="F19" s="23"/>
    </row>
    <row r="20" spans="1:21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103</v>
      </c>
      <c r="I20" s="8" t="s">
        <v>106</v>
      </c>
      <c r="J20" s="8" t="s">
        <v>100</v>
      </c>
      <c r="K20" s="8" t="s">
        <v>98</v>
      </c>
      <c r="L20" s="8" t="s">
        <v>524</v>
      </c>
      <c r="M20" s="8" t="s">
        <v>26</v>
      </c>
      <c r="N20" s="8" t="s">
        <v>27</v>
      </c>
      <c r="O20" s="8" t="s">
        <v>24</v>
      </c>
      <c r="P20" s="7" t="s">
        <v>23</v>
      </c>
      <c r="Q20" s="5" t="s">
        <v>16</v>
      </c>
      <c r="U20" s="48" t="s">
        <v>513</v>
      </c>
    </row>
    <row r="21" spans="1:21" ht="12.75" customHeight="1">
      <c r="A21" s="46" t="s">
        <v>114</v>
      </c>
      <c r="B21" s="47" t="s">
        <v>78</v>
      </c>
      <c r="C21" s="80">
        <v>25854.359</v>
      </c>
      <c r="D21" s="80" t="s">
        <v>106</v>
      </c>
      <c r="E21">
        <f t="shared" ref="E21:E52" si="0">+(C21-C$7)/C$8</f>
        <v>-13304.988977546229</v>
      </c>
      <c r="F21">
        <f t="shared" ref="F21:F52" si="1">ROUND(2*E21,0)/2</f>
        <v>-13305</v>
      </c>
      <c r="G21">
        <f t="shared" ref="G21:G29" si="2">+C21-(C$7+F21*C$8)</f>
        <v>1.5690000000176951E-2</v>
      </c>
      <c r="H21">
        <f t="shared" ref="H21:H29" si="3">+G21</f>
        <v>1.5690000000176951E-2</v>
      </c>
      <c r="Q21" s="2">
        <f t="shared" ref="Q21:Q52" si="4">+C21-15018.5</f>
        <v>10835.859</v>
      </c>
    </row>
    <row r="22" spans="1:21" ht="12.75" customHeight="1">
      <c r="A22" s="46" t="s">
        <v>114</v>
      </c>
      <c r="B22" s="47" t="s">
        <v>78</v>
      </c>
      <c r="C22" s="80">
        <v>26331.21</v>
      </c>
      <c r="D22" s="80" t="s">
        <v>106</v>
      </c>
      <c r="E22">
        <f t="shared" si="0"/>
        <v>-12969.994197229564</v>
      </c>
      <c r="F22">
        <f t="shared" si="1"/>
        <v>-12970</v>
      </c>
      <c r="G22">
        <f t="shared" si="2"/>
        <v>8.2599999986996409E-3</v>
      </c>
      <c r="H22">
        <f t="shared" si="3"/>
        <v>8.2599999986996409E-3</v>
      </c>
      <c r="Q22" s="2">
        <f t="shared" si="4"/>
        <v>11312.71</v>
      </c>
    </row>
    <row r="23" spans="1:21" ht="12.75" customHeight="1">
      <c r="A23" s="46" t="s">
        <v>114</v>
      </c>
      <c r="B23" s="47" t="s">
        <v>78</v>
      </c>
      <c r="C23" s="80">
        <v>27303.425999999999</v>
      </c>
      <c r="D23" s="80" t="s">
        <v>106</v>
      </c>
      <c r="E23">
        <f t="shared" si="0"/>
        <v>-12286.998281649336</v>
      </c>
      <c r="F23">
        <f t="shared" si="1"/>
        <v>-12287</v>
      </c>
      <c r="G23">
        <f t="shared" si="2"/>
        <v>2.4460000022372697E-3</v>
      </c>
      <c r="H23">
        <f t="shared" si="3"/>
        <v>2.4460000022372697E-3</v>
      </c>
      <c r="Q23" s="2">
        <f t="shared" si="4"/>
        <v>12284.925999999999</v>
      </c>
    </row>
    <row r="24" spans="1:21" ht="12.75" customHeight="1">
      <c r="A24" s="46" t="s">
        <v>114</v>
      </c>
      <c r="B24" s="47" t="s">
        <v>78</v>
      </c>
      <c r="C24" s="80">
        <v>27313.4</v>
      </c>
      <c r="D24" s="80" t="s">
        <v>106</v>
      </c>
      <c r="E24">
        <f t="shared" si="0"/>
        <v>-12279.99140122153</v>
      </c>
      <c r="F24">
        <f t="shared" si="1"/>
        <v>-12280</v>
      </c>
      <c r="G24">
        <f t="shared" si="2"/>
        <v>1.2240000003657769E-2</v>
      </c>
      <c r="H24">
        <f t="shared" si="3"/>
        <v>1.2240000003657769E-2</v>
      </c>
      <c r="Q24" s="2">
        <f t="shared" si="4"/>
        <v>12294.900000000001</v>
      </c>
    </row>
    <row r="25" spans="1:21" ht="12.75" customHeight="1">
      <c r="A25" s="46" t="s">
        <v>114</v>
      </c>
      <c r="B25" s="47" t="s">
        <v>78</v>
      </c>
      <c r="C25" s="80">
        <v>27323.37</v>
      </c>
      <c r="D25" s="80" t="s">
        <v>106</v>
      </c>
      <c r="E25">
        <f t="shared" si="0"/>
        <v>-12272.987330852051</v>
      </c>
      <c r="F25">
        <f t="shared" si="1"/>
        <v>-12273</v>
      </c>
      <c r="G25">
        <f t="shared" si="2"/>
        <v>1.8034000000625383E-2</v>
      </c>
      <c r="H25">
        <f t="shared" si="3"/>
        <v>1.8034000000625383E-2</v>
      </c>
      <c r="Q25" s="2">
        <f t="shared" si="4"/>
        <v>12304.869999999999</v>
      </c>
    </row>
    <row r="26" spans="1:21" ht="12.75" customHeight="1">
      <c r="A26" s="46" t="s">
        <v>114</v>
      </c>
      <c r="B26" s="47" t="s">
        <v>78</v>
      </c>
      <c r="C26" s="80">
        <v>27340.455999999998</v>
      </c>
      <c r="D26" s="80" t="s">
        <v>106</v>
      </c>
      <c r="E26">
        <f t="shared" si="0"/>
        <v>-12260.984166726381</v>
      </c>
      <c r="F26">
        <f t="shared" si="1"/>
        <v>-12261</v>
      </c>
      <c r="G26">
        <f t="shared" si="2"/>
        <v>2.2538000001077307E-2</v>
      </c>
      <c r="H26">
        <f t="shared" si="3"/>
        <v>2.2538000001077307E-2</v>
      </c>
      <c r="Q26" s="2">
        <f t="shared" si="4"/>
        <v>12321.955999999998</v>
      </c>
    </row>
    <row r="27" spans="1:21" ht="12.75" customHeight="1">
      <c r="A27" s="46" t="s">
        <v>114</v>
      </c>
      <c r="B27" s="47" t="s">
        <v>78</v>
      </c>
      <c r="C27" s="80">
        <v>27343.294000000002</v>
      </c>
      <c r="D27" s="80" t="s">
        <v>106</v>
      </c>
      <c r="E27">
        <f t="shared" si="0"/>
        <v>-12258.990430346379</v>
      </c>
      <c r="F27">
        <f t="shared" si="1"/>
        <v>-12259</v>
      </c>
      <c r="G27">
        <f t="shared" si="2"/>
        <v>1.3622000002214918E-2</v>
      </c>
      <c r="H27">
        <f t="shared" si="3"/>
        <v>1.3622000002214918E-2</v>
      </c>
      <c r="Q27" s="2">
        <f t="shared" si="4"/>
        <v>12324.794000000002</v>
      </c>
    </row>
    <row r="28" spans="1:21" ht="12.75" customHeight="1">
      <c r="A28" s="46" t="s">
        <v>114</v>
      </c>
      <c r="B28" s="47" t="s">
        <v>78</v>
      </c>
      <c r="C28" s="80">
        <v>27353.284</v>
      </c>
      <c r="D28" s="80" t="s">
        <v>106</v>
      </c>
      <c r="E28">
        <f t="shared" si="0"/>
        <v>-12251.972309685287</v>
      </c>
      <c r="F28">
        <f t="shared" si="1"/>
        <v>-12252</v>
      </c>
      <c r="G28">
        <f t="shared" si="2"/>
        <v>3.9415999999619089E-2</v>
      </c>
      <c r="H28">
        <f t="shared" si="3"/>
        <v>3.9415999999619089E-2</v>
      </c>
      <c r="Q28" s="2">
        <f t="shared" si="4"/>
        <v>12334.784</v>
      </c>
    </row>
    <row r="29" spans="1:21" ht="12.75" customHeight="1">
      <c r="A29" s="46" t="s">
        <v>114</v>
      </c>
      <c r="B29" s="47" t="s">
        <v>78</v>
      </c>
      <c r="C29" s="80">
        <v>27370.344000000001</v>
      </c>
      <c r="D29" s="80" t="s">
        <v>106</v>
      </c>
      <c r="E29">
        <f t="shared" si="0"/>
        <v>-12239.987410938713</v>
      </c>
      <c r="F29">
        <f t="shared" si="1"/>
        <v>-12240</v>
      </c>
      <c r="G29">
        <f t="shared" si="2"/>
        <v>1.7920000002050074E-2</v>
      </c>
      <c r="H29">
        <f t="shared" si="3"/>
        <v>1.7920000002050074E-2</v>
      </c>
      <c r="Q29" s="2">
        <f t="shared" si="4"/>
        <v>12351.844000000001</v>
      </c>
    </row>
    <row r="30" spans="1:21" ht="12.75" customHeight="1">
      <c r="A30" s="46" t="s">
        <v>144</v>
      </c>
      <c r="B30" s="47" t="s">
        <v>78</v>
      </c>
      <c r="C30" s="80">
        <v>27372.190999999999</v>
      </c>
      <c r="D30" s="80" t="s">
        <v>106</v>
      </c>
      <c r="E30">
        <f t="shared" si="0"/>
        <v>-12238.689866508179</v>
      </c>
      <c r="F30">
        <f t="shared" si="1"/>
        <v>-12238.5</v>
      </c>
      <c r="Q30" s="2">
        <f t="shared" si="4"/>
        <v>12353.690999999999</v>
      </c>
      <c r="U30">
        <f>+C30-(C$7+F30*C$8)</f>
        <v>-0.27026699999987613</v>
      </c>
    </row>
    <row r="31" spans="1:21" ht="12.75" customHeight="1">
      <c r="A31" s="46" t="s">
        <v>148</v>
      </c>
      <c r="B31" s="47" t="s">
        <v>78</v>
      </c>
      <c r="C31" s="80">
        <v>27393.190999999999</v>
      </c>
      <c r="D31" s="80" t="s">
        <v>106</v>
      </c>
      <c r="E31">
        <f t="shared" si="0"/>
        <v>-12223.937060313687</v>
      </c>
      <c r="F31">
        <f t="shared" si="1"/>
        <v>-12224</v>
      </c>
      <c r="G31">
        <f t="shared" ref="G31:G62" si="5">+C31-(C$7+F31*C$8)</f>
        <v>8.9592000000266125E-2</v>
      </c>
      <c r="I31">
        <f>+G31</f>
        <v>8.9592000000266125E-2</v>
      </c>
      <c r="Q31" s="2">
        <f t="shared" si="4"/>
        <v>12374.690999999999</v>
      </c>
    </row>
    <row r="32" spans="1:21" ht="12.75" customHeight="1">
      <c r="A32" s="46" t="s">
        <v>153</v>
      </c>
      <c r="B32" s="47" t="s">
        <v>78</v>
      </c>
      <c r="C32" s="80">
        <v>27703.434000000001</v>
      </c>
      <c r="D32" s="80" t="s">
        <v>106</v>
      </c>
      <c r="E32">
        <f t="shared" si="0"/>
        <v>-12005.986829256639</v>
      </c>
      <c r="F32">
        <f t="shared" si="1"/>
        <v>-12006</v>
      </c>
      <c r="G32">
        <f t="shared" si="5"/>
        <v>1.8748000002233312E-2</v>
      </c>
      <c r="H32">
        <f t="shared" ref="H32:H42" si="6">+G32</f>
        <v>1.8748000002233312E-2</v>
      </c>
      <c r="Q32" s="2">
        <f t="shared" si="4"/>
        <v>12684.934000000001</v>
      </c>
    </row>
    <row r="33" spans="1:17" ht="12.75" customHeight="1">
      <c r="A33" s="46" t="s">
        <v>158</v>
      </c>
      <c r="B33" s="47" t="s">
        <v>78</v>
      </c>
      <c r="C33" s="80">
        <v>27979.599999999999</v>
      </c>
      <c r="D33" s="80" t="s">
        <v>106</v>
      </c>
      <c r="E33">
        <f t="shared" si="0"/>
        <v>-11811.976187565773</v>
      </c>
      <c r="F33">
        <f t="shared" si="1"/>
        <v>-11812</v>
      </c>
      <c r="G33">
        <f t="shared" si="5"/>
        <v>3.3896000000822823E-2</v>
      </c>
      <c r="H33">
        <f t="shared" si="6"/>
        <v>3.3896000000822823E-2</v>
      </c>
      <c r="Q33" s="2">
        <f t="shared" si="4"/>
        <v>12961.099999999999</v>
      </c>
    </row>
    <row r="34" spans="1:17" ht="12.75" customHeight="1">
      <c r="A34" s="46" t="s">
        <v>158</v>
      </c>
      <c r="B34" s="47" t="s">
        <v>78</v>
      </c>
      <c r="C34" s="80">
        <v>27989.544000000002</v>
      </c>
      <c r="D34" s="80" t="s">
        <v>106</v>
      </c>
      <c r="E34">
        <f t="shared" si="0"/>
        <v>-11804.990382575388</v>
      </c>
      <c r="F34">
        <f t="shared" si="1"/>
        <v>-11805</v>
      </c>
      <c r="G34">
        <f t="shared" si="5"/>
        <v>1.3690000003407476E-2</v>
      </c>
      <c r="H34">
        <f t="shared" si="6"/>
        <v>1.3690000003407476E-2</v>
      </c>
      <c r="Q34" s="2">
        <f t="shared" si="4"/>
        <v>12971.044000000002</v>
      </c>
    </row>
    <row r="35" spans="1:17" ht="12.75" customHeight="1">
      <c r="A35" s="46" t="s">
        <v>158</v>
      </c>
      <c r="B35" s="47" t="s">
        <v>78</v>
      </c>
      <c r="C35" s="80">
        <v>28022.267</v>
      </c>
      <c r="D35" s="80" t="s">
        <v>106</v>
      </c>
      <c r="E35">
        <f t="shared" si="0"/>
        <v>-11782.001997951467</v>
      </c>
      <c r="F35">
        <f t="shared" si="1"/>
        <v>-11782</v>
      </c>
      <c r="G35">
        <f t="shared" si="5"/>
        <v>-2.8439999987313058E-3</v>
      </c>
      <c r="H35">
        <f t="shared" si="6"/>
        <v>-2.8439999987313058E-3</v>
      </c>
      <c r="Q35" s="2">
        <f t="shared" si="4"/>
        <v>13003.767</v>
      </c>
    </row>
    <row r="36" spans="1:17" ht="12.75" customHeight="1">
      <c r="A36" s="46" t="s">
        <v>158</v>
      </c>
      <c r="B36" s="47" t="s">
        <v>78</v>
      </c>
      <c r="C36" s="80">
        <v>28026.548999999999</v>
      </c>
      <c r="D36" s="80" t="s">
        <v>106</v>
      </c>
      <c r="E36">
        <f t="shared" si="0"/>
        <v>-11778.993830516953</v>
      </c>
      <c r="F36">
        <f t="shared" si="1"/>
        <v>-11779</v>
      </c>
      <c r="G36">
        <f t="shared" si="5"/>
        <v>8.7820000007923227E-3</v>
      </c>
      <c r="H36">
        <f t="shared" si="6"/>
        <v>8.7820000007923227E-3</v>
      </c>
      <c r="Q36" s="2">
        <f t="shared" si="4"/>
        <v>13008.048999999999</v>
      </c>
    </row>
    <row r="37" spans="1:17" ht="12.75" customHeight="1">
      <c r="A37" s="46" t="s">
        <v>158</v>
      </c>
      <c r="B37" s="47" t="s">
        <v>78</v>
      </c>
      <c r="C37" s="80">
        <v>28036.5</v>
      </c>
      <c r="D37" s="80" t="s">
        <v>106</v>
      </c>
      <c r="E37">
        <f t="shared" si="0"/>
        <v>-11772.003107924504</v>
      </c>
      <c r="F37">
        <f t="shared" si="1"/>
        <v>-11772</v>
      </c>
      <c r="G37">
        <f t="shared" si="5"/>
        <v>-4.4239999988349155E-3</v>
      </c>
      <c r="H37">
        <f t="shared" si="6"/>
        <v>-4.4239999988349155E-3</v>
      </c>
      <c r="Q37" s="2">
        <f t="shared" si="4"/>
        <v>13018</v>
      </c>
    </row>
    <row r="38" spans="1:17" ht="12.75" customHeight="1">
      <c r="A38" s="46" t="s">
        <v>158</v>
      </c>
      <c r="B38" s="47" t="s">
        <v>78</v>
      </c>
      <c r="C38" s="80">
        <v>28066.409</v>
      </c>
      <c r="D38" s="80" t="s">
        <v>106</v>
      </c>
      <c r="E38">
        <f t="shared" si="0"/>
        <v>-11750.991599330644</v>
      </c>
      <c r="F38">
        <f t="shared" si="1"/>
        <v>-11751</v>
      </c>
      <c r="G38">
        <f t="shared" si="5"/>
        <v>1.1957999999140156E-2</v>
      </c>
      <c r="H38">
        <f t="shared" si="6"/>
        <v>1.1957999999140156E-2</v>
      </c>
      <c r="Q38" s="2">
        <f t="shared" si="4"/>
        <v>13047.909</v>
      </c>
    </row>
    <row r="39" spans="1:17" ht="12.75" customHeight="1">
      <c r="A39" s="46" t="s">
        <v>158</v>
      </c>
      <c r="B39" s="47" t="s">
        <v>78</v>
      </c>
      <c r="C39" s="80">
        <v>28076.375</v>
      </c>
      <c r="D39" s="80" t="s">
        <v>106</v>
      </c>
      <c r="E39">
        <f t="shared" si="0"/>
        <v>-11743.990339019485</v>
      </c>
      <c r="F39">
        <f t="shared" si="1"/>
        <v>-11744</v>
      </c>
      <c r="G39">
        <f t="shared" si="5"/>
        <v>1.375200000256882E-2</v>
      </c>
      <c r="H39">
        <f t="shared" si="6"/>
        <v>1.375200000256882E-2</v>
      </c>
      <c r="Q39" s="2">
        <f t="shared" si="4"/>
        <v>13057.875</v>
      </c>
    </row>
    <row r="40" spans="1:17" ht="12.75" customHeight="1">
      <c r="A40" s="46" t="s">
        <v>158</v>
      </c>
      <c r="B40" s="47" t="s">
        <v>78</v>
      </c>
      <c r="C40" s="80">
        <v>28106.269</v>
      </c>
      <c r="D40" s="80" t="s">
        <v>106</v>
      </c>
      <c r="E40">
        <f t="shared" si="0"/>
        <v>-11722.989368144335</v>
      </c>
      <c r="F40">
        <f t="shared" si="1"/>
        <v>-11723</v>
      </c>
      <c r="G40">
        <f t="shared" si="5"/>
        <v>1.5134000001125969E-2</v>
      </c>
      <c r="H40">
        <f t="shared" si="6"/>
        <v>1.5134000001125969E-2</v>
      </c>
      <c r="Q40" s="2">
        <f t="shared" si="4"/>
        <v>13087.769</v>
      </c>
    </row>
    <row r="41" spans="1:17" ht="12.75" customHeight="1">
      <c r="A41" s="46" t="s">
        <v>158</v>
      </c>
      <c r="B41" s="47" t="s">
        <v>78</v>
      </c>
      <c r="C41" s="80">
        <v>28109.135999999999</v>
      </c>
      <c r="D41" s="80" t="s">
        <v>106</v>
      </c>
      <c r="E41">
        <f t="shared" si="0"/>
        <v>-11720.975258841498</v>
      </c>
      <c r="F41">
        <f t="shared" si="1"/>
        <v>-11721</v>
      </c>
      <c r="G41">
        <f t="shared" si="5"/>
        <v>3.5218000000895699E-2</v>
      </c>
      <c r="H41">
        <f t="shared" si="6"/>
        <v>3.5218000000895699E-2</v>
      </c>
      <c r="Q41" s="2">
        <f t="shared" si="4"/>
        <v>13090.635999999999</v>
      </c>
    </row>
    <row r="42" spans="1:17" ht="12.75" customHeight="1">
      <c r="A42" s="46" t="s">
        <v>158</v>
      </c>
      <c r="B42" s="47" t="s">
        <v>78</v>
      </c>
      <c r="C42" s="80">
        <v>28126.194</v>
      </c>
      <c r="D42" s="80" t="s">
        <v>106</v>
      </c>
      <c r="E42">
        <f t="shared" si="0"/>
        <v>-11708.991765124085</v>
      </c>
      <c r="F42">
        <f t="shared" si="1"/>
        <v>-11709</v>
      </c>
      <c r="G42">
        <f t="shared" si="5"/>
        <v>1.1721999999281252E-2</v>
      </c>
      <c r="H42">
        <f t="shared" si="6"/>
        <v>1.1721999999281252E-2</v>
      </c>
      <c r="Q42" s="2">
        <f t="shared" si="4"/>
        <v>13107.694</v>
      </c>
    </row>
    <row r="43" spans="1:17" ht="12.75" customHeight="1">
      <c r="A43" s="46" t="s">
        <v>144</v>
      </c>
      <c r="B43" s="47" t="s">
        <v>78</v>
      </c>
      <c r="C43" s="80">
        <v>29563.895</v>
      </c>
      <c r="D43" s="80" t="s">
        <v>106</v>
      </c>
      <c r="E43">
        <f t="shared" si="0"/>
        <v>-10698.985849951314</v>
      </c>
      <c r="F43">
        <f t="shared" si="1"/>
        <v>-10699</v>
      </c>
      <c r="G43">
        <f t="shared" si="5"/>
        <v>2.014200000121491E-2</v>
      </c>
      <c r="I43">
        <f t="shared" ref="I43:I82" si="7">+G43</f>
        <v>2.014200000121491E-2</v>
      </c>
      <c r="Q43" s="2">
        <f t="shared" si="4"/>
        <v>14545.395</v>
      </c>
    </row>
    <row r="44" spans="1:17" ht="12.75" customHeight="1">
      <c r="A44" s="46" t="s">
        <v>148</v>
      </c>
      <c r="B44" s="47" t="s">
        <v>78</v>
      </c>
      <c r="C44" s="80">
        <v>30607.308000000001</v>
      </c>
      <c r="D44" s="80" t="s">
        <v>106</v>
      </c>
      <c r="E44">
        <f t="shared" si="0"/>
        <v>-9965.9730037696918</v>
      </c>
      <c r="F44">
        <f t="shared" si="1"/>
        <v>-9966</v>
      </c>
      <c r="G44">
        <f t="shared" si="5"/>
        <v>3.8428000003477791E-2</v>
      </c>
      <c r="I44">
        <f t="shared" si="7"/>
        <v>3.8428000003477791E-2</v>
      </c>
      <c r="Q44" s="2">
        <f t="shared" si="4"/>
        <v>15588.808000000001</v>
      </c>
    </row>
    <row r="45" spans="1:17" ht="12.75" customHeight="1">
      <c r="A45" s="46" t="s">
        <v>148</v>
      </c>
      <c r="B45" s="47" t="s">
        <v>78</v>
      </c>
      <c r="C45" s="80">
        <v>30637.212</v>
      </c>
      <c r="D45" s="80" t="s">
        <v>106</v>
      </c>
      <c r="E45">
        <f t="shared" si="0"/>
        <v>-9944.9650077487349</v>
      </c>
      <c r="F45">
        <f t="shared" si="1"/>
        <v>-9945</v>
      </c>
      <c r="G45">
        <f t="shared" si="5"/>
        <v>4.9810000000434229E-2</v>
      </c>
      <c r="I45">
        <f t="shared" si="7"/>
        <v>4.9810000000434229E-2</v>
      </c>
      <c r="Q45" s="2">
        <f t="shared" si="4"/>
        <v>15618.712</v>
      </c>
    </row>
    <row r="46" spans="1:17" ht="12.75" customHeight="1">
      <c r="A46" s="46" t="s">
        <v>148</v>
      </c>
      <c r="B46" s="47" t="s">
        <v>78</v>
      </c>
      <c r="C46" s="80">
        <v>30647.162</v>
      </c>
      <c r="D46" s="80" t="s">
        <v>106</v>
      </c>
      <c r="E46">
        <f t="shared" si="0"/>
        <v>-9937.9749876708684</v>
      </c>
      <c r="F46">
        <f t="shared" si="1"/>
        <v>-9938</v>
      </c>
      <c r="G46">
        <f t="shared" si="5"/>
        <v>3.5604000000603264E-2</v>
      </c>
      <c r="I46">
        <f t="shared" si="7"/>
        <v>3.5604000000603264E-2</v>
      </c>
      <c r="Q46" s="2">
        <f t="shared" si="4"/>
        <v>15628.662</v>
      </c>
    </row>
    <row r="47" spans="1:17" ht="12.75" customHeight="1">
      <c r="A47" s="46" t="s">
        <v>144</v>
      </c>
      <c r="B47" s="47" t="s">
        <v>78</v>
      </c>
      <c r="C47" s="80">
        <v>32017.955999999998</v>
      </c>
      <c r="D47" s="80" t="s">
        <v>106</v>
      </c>
      <c r="E47">
        <f t="shared" si="0"/>
        <v>-8974.9722155483341</v>
      </c>
      <c r="F47">
        <f t="shared" si="1"/>
        <v>-8975</v>
      </c>
      <c r="G47">
        <f t="shared" si="5"/>
        <v>3.9550000001327135E-2</v>
      </c>
      <c r="I47">
        <f t="shared" si="7"/>
        <v>3.9550000001327135E-2</v>
      </c>
      <c r="Q47" s="2">
        <f t="shared" si="4"/>
        <v>16999.455999999998</v>
      </c>
    </row>
    <row r="48" spans="1:17" ht="12.75" customHeight="1">
      <c r="A48" s="46" t="s">
        <v>198</v>
      </c>
      <c r="B48" s="47" t="s">
        <v>78</v>
      </c>
      <c r="C48" s="80">
        <v>34732.508999999998</v>
      </c>
      <c r="D48" s="80" t="s">
        <v>106</v>
      </c>
      <c r="E48">
        <f t="shared" si="0"/>
        <v>-7067.95915299222</v>
      </c>
      <c r="F48">
        <f t="shared" si="1"/>
        <v>-7068</v>
      </c>
      <c r="G48">
        <f t="shared" si="5"/>
        <v>5.8144000002357643E-2</v>
      </c>
      <c r="I48">
        <f t="shared" si="7"/>
        <v>5.8144000002357643E-2</v>
      </c>
      <c r="Q48" s="2">
        <f t="shared" si="4"/>
        <v>19714.008999999998</v>
      </c>
    </row>
    <row r="49" spans="1:32" ht="12.75" customHeight="1">
      <c r="A49" t="s">
        <v>29</v>
      </c>
      <c r="C49" s="81">
        <v>41176.487000000001</v>
      </c>
      <c r="D49" s="82"/>
      <c r="E49">
        <f t="shared" si="0"/>
        <v>-2540.9706503458456</v>
      </c>
      <c r="F49">
        <f t="shared" si="1"/>
        <v>-2541</v>
      </c>
      <c r="G49">
        <f t="shared" si="5"/>
        <v>4.1778000006161164E-2</v>
      </c>
      <c r="I49">
        <f t="shared" si="7"/>
        <v>4.1778000006161164E-2</v>
      </c>
      <c r="Q49" s="2">
        <f t="shared" si="4"/>
        <v>26157.987000000001</v>
      </c>
      <c r="AB49">
        <v>8</v>
      </c>
      <c r="AD49" t="s">
        <v>28</v>
      </c>
      <c r="AF49" t="s">
        <v>30</v>
      </c>
    </row>
    <row r="50" spans="1:32" ht="12.75" customHeight="1">
      <c r="A50" t="s">
        <v>31</v>
      </c>
      <c r="C50" s="81">
        <v>41216.33</v>
      </c>
      <c r="D50" s="82"/>
      <c r="E50">
        <f t="shared" si="0"/>
        <v>-2512.9803619074087</v>
      </c>
      <c r="F50">
        <f t="shared" si="1"/>
        <v>-2513</v>
      </c>
      <c r="G50">
        <f t="shared" si="5"/>
        <v>2.7954000004683621E-2</v>
      </c>
      <c r="I50">
        <f t="shared" si="7"/>
        <v>2.7954000004683621E-2</v>
      </c>
      <c r="Q50" s="2">
        <f t="shared" si="4"/>
        <v>26197.83</v>
      </c>
      <c r="AB50">
        <v>10</v>
      </c>
      <c r="AD50" t="s">
        <v>28</v>
      </c>
      <c r="AF50" t="s">
        <v>30</v>
      </c>
    </row>
    <row r="51" spans="1:32" ht="12.75" customHeight="1">
      <c r="A51" t="s">
        <v>32</v>
      </c>
      <c r="C51" s="81">
        <v>41472.546000000002</v>
      </c>
      <c r="D51" s="82"/>
      <c r="E51">
        <f t="shared" si="0"/>
        <v>-2332.9848861013079</v>
      </c>
      <c r="F51">
        <f t="shared" si="1"/>
        <v>-2333</v>
      </c>
      <c r="G51">
        <f t="shared" si="5"/>
        <v>2.1514000007300638E-2</v>
      </c>
      <c r="I51">
        <f t="shared" si="7"/>
        <v>2.1514000007300638E-2</v>
      </c>
      <c r="Q51" s="2">
        <f t="shared" si="4"/>
        <v>26454.046000000002</v>
      </c>
      <c r="AB51">
        <v>11</v>
      </c>
      <c r="AD51" t="s">
        <v>28</v>
      </c>
      <c r="AF51" t="s">
        <v>30</v>
      </c>
    </row>
    <row r="52" spans="1:32" ht="12.75" customHeight="1">
      <c r="A52" t="s">
        <v>34</v>
      </c>
      <c r="C52" s="81">
        <v>41539.447</v>
      </c>
      <c r="D52" s="82"/>
      <c r="E52">
        <f t="shared" si="0"/>
        <v>-2285.9859581385595</v>
      </c>
      <c r="F52">
        <f t="shared" si="1"/>
        <v>-2286</v>
      </c>
      <c r="G52">
        <f t="shared" si="5"/>
        <v>1.9988000000012107E-2</v>
      </c>
      <c r="I52">
        <f t="shared" si="7"/>
        <v>1.9988000000012107E-2</v>
      </c>
      <c r="Q52" s="2">
        <f t="shared" si="4"/>
        <v>26520.947</v>
      </c>
      <c r="AB52">
        <v>9</v>
      </c>
      <c r="AD52" t="s">
        <v>33</v>
      </c>
      <c r="AF52" t="s">
        <v>30</v>
      </c>
    </row>
    <row r="53" spans="1:32" ht="12.75" customHeight="1">
      <c r="A53" t="s">
        <v>34</v>
      </c>
      <c r="C53" s="81">
        <v>41569.334000000003</v>
      </c>
      <c r="D53" s="82"/>
      <c r="E53">
        <f t="shared" ref="E53:E84" si="8">+(C53-C$7)/C$8</f>
        <v>-2264.989904865472</v>
      </c>
      <c r="F53">
        <f t="shared" ref="F53:F84" si="9">ROUND(2*E53,0)/2</f>
        <v>-2265</v>
      </c>
      <c r="G53">
        <f t="shared" si="5"/>
        <v>1.4370000004419126E-2</v>
      </c>
      <c r="I53">
        <f t="shared" si="7"/>
        <v>1.4370000004419126E-2</v>
      </c>
      <c r="Q53" s="2">
        <f t="shared" ref="Q53:Q84" si="10">+C53-15018.5</f>
        <v>26550.834000000003</v>
      </c>
      <c r="AB53">
        <v>13</v>
      </c>
      <c r="AD53" t="s">
        <v>33</v>
      </c>
      <c r="AF53" t="s">
        <v>30</v>
      </c>
    </row>
    <row r="54" spans="1:32" ht="12.75" customHeight="1">
      <c r="A54" t="s">
        <v>34</v>
      </c>
      <c r="C54" s="81">
        <v>41589.277999999998</v>
      </c>
      <c r="D54" s="82"/>
      <c r="E54">
        <f t="shared" si="8"/>
        <v>-2250.9789540681913</v>
      </c>
      <c r="F54">
        <f t="shared" si="9"/>
        <v>-2251</v>
      </c>
      <c r="G54">
        <f t="shared" si="5"/>
        <v>2.995799999916926E-2</v>
      </c>
      <c r="I54">
        <f t="shared" si="7"/>
        <v>2.995799999916926E-2</v>
      </c>
      <c r="Q54" s="2">
        <f t="shared" si="10"/>
        <v>26570.777999999998</v>
      </c>
      <c r="AB54">
        <v>10</v>
      </c>
      <c r="AD54" t="s">
        <v>28</v>
      </c>
      <c r="AF54" t="s">
        <v>30</v>
      </c>
    </row>
    <row r="55" spans="1:32" ht="12.75" customHeight="1">
      <c r="A55" t="s">
        <v>35</v>
      </c>
      <c r="C55" s="81">
        <v>41626.269</v>
      </c>
      <c r="D55" s="82"/>
      <c r="E55">
        <f t="shared" si="8"/>
        <v>-2224.9922372138817</v>
      </c>
      <c r="F55">
        <f t="shared" si="9"/>
        <v>-2225</v>
      </c>
      <c r="G55">
        <f t="shared" si="5"/>
        <v>1.1050000000977889E-2</v>
      </c>
      <c r="I55">
        <f t="shared" si="7"/>
        <v>1.1050000000977889E-2</v>
      </c>
      <c r="Q55" s="2">
        <f t="shared" si="10"/>
        <v>26607.769</v>
      </c>
      <c r="AB55">
        <v>10</v>
      </c>
      <c r="AD55" t="s">
        <v>28</v>
      </c>
      <c r="AF55" t="s">
        <v>30</v>
      </c>
    </row>
    <row r="56" spans="1:32" ht="12.75" customHeight="1">
      <c r="A56" t="s">
        <v>36</v>
      </c>
      <c r="C56" s="81">
        <v>41815.591</v>
      </c>
      <c r="D56" s="82"/>
      <c r="E56">
        <f t="shared" si="8"/>
        <v>-2091.9907717684664</v>
      </c>
      <c r="F56">
        <f t="shared" si="9"/>
        <v>-2092</v>
      </c>
      <c r="G56">
        <f t="shared" si="5"/>
        <v>1.3136000001395587E-2</v>
      </c>
      <c r="I56">
        <f t="shared" si="7"/>
        <v>1.3136000001395587E-2</v>
      </c>
      <c r="Q56" s="2">
        <f t="shared" si="10"/>
        <v>26797.091</v>
      </c>
      <c r="AB56">
        <v>10</v>
      </c>
      <c r="AD56" t="s">
        <v>28</v>
      </c>
      <c r="AF56" t="s">
        <v>30</v>
      </c>
    </row>
    <row r="57" spans="1:32" ht="12.75" customHeight="1">
      <c r="A57" t="s">
        <v>37</v>
      </c>
      <c r="C57" s="81">
        <v>41865.413999999997</v>
      </c>
      <c r="D57" s="82"/>
      <c r="E57">
        <f t="shared" si="8"/>
        <v>-2056.9893878147445</v>
      </c>
      <c r="F57">
        <f t="shared" si="9"/>
        <v>-2057</v>
      </c>
      <c r="G57">
        <f t="shared" si="5"/>
        <v>1.5105999998922925E-2</v>
      </c>
      <c r="I57">
        <f t="shared" si="7"/>
        <v>1.5105999998922925E-2</v>
      </c>
      <c r="Q57" s="2">
        <f t="shared" si="10"/>
        <v>26846.913999999997</v>
      </c>
      <c r="AB57">
        <v>11</v>
      </c>
      <c r="AD57" t="s">
        <v>28</v>
      </c>
      <c r="AF57" t="s">
        <v>30</v>
      </c>
    </row>
    <row r="58" spans="1:32" ht="12.75" customHeight="1">
      <c r="A58" t="s">
        <v>37</v>
      </c>
      <c r="C58" s="81">
        <v>41892.464999999997</v>
      </c>
      <c r="D58" s="82"/>
      <c r="E58">
        <f t="shared" si="8"/>
        <v>-2037.9856658924964</v>
      </c>
      <c r="F58">
        <f t="shared" si="9"/>
        <v>-2038</v>
      </c>
      <c r="G58">
        <f t="shared" si="5"/>
        <v>2.0403999995323829E-2</v>
      </c>
      <c r="I58">
        <f t="shared" si="7"/>
        <v>2.0403999995323829E-2</v>
      </c>
      <c r="Q58" s="2">
        <f t="shared" si="10"/>
        <v>26873.964999999997</v>
      </c>
      <c r="AB58">
        <v>13</v>
      </c>
      <c r="AD58" t="s">
        <v>28</v>
      </c>
      <c r="AF58" t="s">
        <v>30</v>
      </c>
    </row>
    <row r="59" spans="1:32" ht="12.75" customHeight="1">
      <c r="A59" t="s">
        <v>38</v>
      </c>
      <c r="C59" s="81">
        <v>41932.315000000002</v>
      </c>
      <c r="D59" s="82"/>
      <c r="E59">
        <f t="shared" si="8"/>
        <v>-2009.9904598519911</v>
      </c>
      <c r="F59">
        <f t="shared" si="9"/>
        <v>-2010</v>
      </c>
      <c r="G59">
        <f t="shared" si="5"/>
        <v>1.358000000618631E-2</v>
      </c>
      <c r="I59">
        <f t="shared" si="7"/>
        <v>1.358000000618631E-2</v>
      </c>
      <c r="Q59" s="2">
        <f t="shared" si="10"/>
        <v>26913.815000000002</v>
      </c>
      <c r="AB59">
        <v>11</v>
      </c>
      <c r="AD59" t="s">
        <v>28</v>
      </c>
      <c r="AF59" t="s">
        <v>30</v>
      </c>
    </row>
    <row r="60" spans="1:32" ht="12.75" customHeight="1">
      <c r="A60" t="s">
        <v>39</v>
      </c>
      <c r="C60" s="81">
        <v>41959.360999999997</v>
      </c>
      <c r="D60" s="82"/>
      <c r="E60">
        <f t="shared" si="8"/>
        <v>-1990.9902505026496</v>
      </c>
      <c r="F60">
        <f t="shared" si="9"/>
        <v>-1991</v>
      </c>
      <c r="G60">
        <f t="shared" si="5"/>
        <v>1.3877999997930601E-2</v>
      </c>
      <c r="I60">
        <f t="shared" si="7"/>
        <v>1.3877999997930601E-2</v>
      </c>
      <c r="Q60" s="2">
        <f t="shared" si="10"/>
        <v>26940.860999999997</v>
      </c>
      <c r="AB60">
        <v>6</v>
      </c>
      <c r="AD60" t="s">
        <v>28</v>
      </c>
      <c r="AF60" t="s">
        <v>30</v>
      </c>
    </row>
    <row r="61" spans="1:32" ht="12.75" customHeight="1">
      <c r="A61" t="s">
        <v>39</v>
      </c>
      <c r="C61" s="81">
        <v>41989.254999999997</v>
      </c>
      <c r="D61" s="82"/>
      <c r="E61">
        <f t="shared" si="8"/>
        <v>-1969.9892796274989</v>
      </c>
      <c r="F61">
        <f t="shared" si="9"/>
        <v>-1970</v>
      </c>
      <c r="G61">
        <f t="shared" si="5"/>
        <v>1.5260000000125729E-2</v>
      </c>
      <c r="I61">
        <f t="shared" si="7"/>
        <v>1.5260000000125729E-2</v>
      </c>
      <c r="Q61" s="2">
        <f t="shared" si="10"/>
        <v>26970.754999999997</v>
      </c>
      <c r="AB61">
        <v>6</v>
      </c>
      <c r="AD61" t="s">
        <v>28</v>
      </c>
      <c r="AF61" t="s">
        <v>30</v>
      </c>
    </row>
    <row r="62" spans="1:32" ht="12.75" customHeight="1">
      <c r="A62" t="s">
        <v>40</v>
      </c>
      <c r="C62" s="81">
        <v>42272.517999999996</v>
      </c>
      <c r="D62" s="82"/>
      <c r="E62">
        <f t="shared" si="8"/>
        <v>-1770.9928919574736</v>
      </c>
      <c r="F62">
        <f t="shared" si="9"/>
        <v>-1771</v>
      </c>
      <c r="G62">
        <f t="shared" si="5"/>
        <v>1.0117999998328742E-2</v>
      </c>
      <c r="I62">
        <f t="shared" si="7"/>
        <v>1.0117999998328742E-2</v>
      </c>
      <c r="Q62" s="2">
        <f t="shared" si="10"/>
        <v>27254.017999999996</v>
      </c>
      <c r="AB62">
        <v>10</v>
      </c>
      <c r="AD62" t="s">
        <v>28</v>
      </c>
      <c r="AF62" t="s">
        <v>30</v>
      </c>
    </row>
    <row r="63" spans="1:32" ht="12.75" customHeight="1">
      <c r="A63" t="s">
        <v>41</v>
      </c>
      <c r="C63" s="81">
        <v>42568.584999999999</v>
      </c>
      <c r="D63" s="82"/>
      <c r="E63">
        <f t="shared" si="8"/>
        <v>-1563.0015075962892</v>
      </c>
      <c r="F63">
        <f t="shared" si="9"/>
        <v>-1563</v>
      </c>
      <c r="G63">
        <f t="shared" ref="G63:G94" si="11">+C63-(C$7+F63*C$8)</f>
        <v>-2.1459999989019707E-3</v>
      </c>
      <c r="I63">
        <f t="shared" si="7"/>
        <v>-2.1459999989019707E-3</v>
      </c>
      <c r="Q63" s="2">
        <f t="shared" si="10"/>
        <v>27550.084999999999</v>
      </c>
      <c r="AB63">
        <v>6</v>
      </c>
      <c r="AD63" t="s">
        <v>28</v>
      </c>
      <c r="AF63" t="s">
        <v>30</v>
      </c>
    </row>
    <row r="64" spans="1:32" ht="12.75" customHeight="1">
      <c r="A64" t="s">
        <v>41</v>
      </c>
      <c r="C64" s="81">
        <v>42628.387000000002</v>
      </c>
      <c r="D64" s="82"/>
      <c r="E64">
        <f t="shared" si="8"/>
        <v>-1520.9897306418561</v>
      </c>
      <c r="F64">
        <f t="shared" si="9"/>
        <v>-1521</v>
      </c>
      <c r="G64">
        <f t="shared" si="11"/>
        <v>1.4618000001064502E-2</v>
      </c>
      <c r="I64">
        <f t="shared" si="7"/>
        <v>1.4618000001064502E-2</v>
      </c>
      <c r="Q64" s="2">
        <f t="shared" si="10"/>
        <v>27609.887000000002</v>
      </c>
      <c r="AB64">
        <v>8</v>
      </c>
      <c r="AD64" t="s">
        <v>28</v>
      </c>
      <c r="AF64" t="s">
        <v>30</v>
      </c>
    </row>
    <row r="65" spans="1:32" ht="12.75" customHeight="1">
      <c r="A65" t="s">
        <v>41</v>
      </c>
      <c r="C65" s="81">
        <v>42638.353000000003</v>
      </c>
      <c r="D65" s="82"/>
      <c r="E65">
        <f t="shared" si="8"/>
        <v>-1513.9884703306982</v>
      </c>
      <c r="F65">
        <f t="shared" si="9"/>
        <v>-1514</v>
      </c>
      <c r="G65">
        <f t="shared" si="11"/>
        <v>1.6412000004493166E-2</v>
      </c>
      <c r="I65">
        <f t="shared" si="7"/>
        <v>1.6412000004493166E-2</v>
      </c>
      <c r="Q65" s="2">
        <f t="shared" si="10"/>
        <v>27619.853000000003</v>
      </c>
      <c r="AB65">
        <v>6</v>
      </c>
      <c r="AD65" t="s">
        <v>28</v>
      </c>
      <c r="AF65" t="s">
        <v>30</v>
      </c>
    </row>
    <row r="66" spans="1:32" ht="12.75" customHeight="1">
      <c r="A66" t="s">
        <v>42</v>
      </c>
      <c r="C66" s="81">
        <v>42665.38</v>
      </c>
      <c r="D66" s="82"/>
      <c r="E66">
        <f t="shared" si="8"/>
        <v>-1495.0016087583899</v>
      </c>
      <c r="F66">
        <f t="shared" si="9"/>
        <v>-1495</v>
      </c>
      <c r="G66">
        <f t="shared" si="11"/>
        <v>-2.2899999967194162E-3</v>
      </c>
      <c r="I66">
        <f t="shared" si="7"/>
        <v>-2.2899999967194162E-3</v>
      </c>
      <c r="Q66" s="2">
        <f t="shared" si="10"/>
        <v>27646.879999999997</v>
      </c>
      <c r="AB66">
        <v>6</v>
      </c>
      <c r="AD66" t="s">
        <v>28</v>
      </c>
      <c r="AF66" t="s">
        <v>30</v>
      </c>
    </row>
    <row r="67" spans="1:32" ht="12.75" customHeight="1">
      <c r="A67" s="46" t="s">
        <v>264</v>
      </c>
      <c r="B67" s="47" t="s">
        <v>78</v>
      </c>
      <c r="C67" s="80">
        <v>43069.66</v>
      </c>
      <c r="D67" s="80" t="s">
        <v>106</v>
      </c>
      <c r="E67">
        <f t="shared" si="8"/>
        <v>-1210.989014076983</v>
      </c>
      <c r="F67">
        <f t="shared" si="9"/>
        <v>-1211</v>
      </c>
      <c r="G67">
        <f t="shared" si="11"/>
        <v>1.5638000004400965E-2</v>
      </c>
      <c r="I67">
        <f t="shared" si="7"/>
        <v>1.5638000004400965E-2</v>
      </c>
      <c r="Q67" s="2">
        <f t="shared" si="10"/>
        <v>28051.160000000003</v>
      </c>
    </row>
    <row r="68" spans="1:32" ht="12.75" customHeight="1">
      <c r="A68" t="s">
        <v>43</v>
      </c>
      <c r="C68" s="81">
        <v>43361.455000000002</v>
      </c>
      <c r="D68" s="82"/>
      <c r="E68">
        <f t="shared" si="8"/>
        <v>-1005.9987720045101</v>
      </c>
      <c r="F68">
        <f t="shared" si="9"/>
        <v>-1006</v>
      </c>
      <c r="G68">
        <f t="shared" si="11"/>
        <v>1.7480000024079345E-3</v>
      </c>
      <c r="I68">
        <f t="shared" si="7"/>
        <v>1.7480000024079345E-3</v>
      </c>
      <c r="Q68" s="2">
        <f t="shared" si="10"/>
        <v>28342.955000000002</v>
      </c>
      <c r="AB68">
        <v>10</v>
      </c>
      <c r="AD68" t="s">
        <v>28</v>
      </c>
      <c r="AF68" t="s">
        <v>30</v>
      </c>
    </row>
    <row r="69" spans="1:32" ht="12.75" customHeight="1">
      <c r="A69" t="s">
        <v>45</v>
      </c>
      <c r="C69" s="81">
        <v>43401.315000000002</v>
      </c>
      <c r="D69" s="82"/>
      <c r="E69">
        <f t="shared" si="8"/>
        <v>-977.99654081820131</v>
      </c>
      <c r="F69">
        <f t="shared" si="9"/>
        <v>-978</v>
      </c>
      <c r="G69">
        <f t="shared" si="11"/>
        <v>4.9240000080317259E-3</v>
      </c>
      <c r="I69">
        <f t="shared" si="7"/>
        <v>4.9240000080317259E-3</v>
      </c>
      <c r="Q69" s="2">
        <f t="shared" si="10"/>
        <v>28382.815000000002</v>
      </c>
      <c r="AA69" t="s">
        <v>44</v>
      </c>
      <c r="AB69">
        <v>6</v>
      </c>
      <c r="AD69" t="s">
        <v>28</v>
      </c>
      <c r="AF69" t="s">
        <v>30</v>
      </c>
    </row>
    <row r="70" spans="1:32" ht="12.75" customHeight="1">
      <c r="A70" t="s">
        <v>46</v>
      </c>
      <c r="C70" s="81">
        <v>43657.534</v>
      </c>
      <c r="D70" s="82"/>
      <c r="E70">
        <f t="shared" si="8"/>
        <v>-797.9989574683608</v>
      </c>
      <c r="F70">
        <f t="shared" si="9"/>
        <v>-798</v>
      </c>
      <c r="G70">
        <f t="shared" si="11"/>
        <v>1.4840000003459863E-3</v>
      </c>
      <c r="I70">
        <f t="shared" si="7"/>
        <v>1.4840000003459863E-3</v>
      </c>
      <c r="Q70" s="2">
        <f t="shared" si="10"/>
        <v>28639.034</v>
      </c>
      <c r="AA70" t="s">
        <v>44</v>
      </c>
      <c r="AB70">
        <v>11</v>
      </c>
      <c r="AD70" t="s">
        <v>28</v>
      </c>
      <c r="AF70" t="s">
        <v>30</v>
      </c>
    </row>
    <row r="71" spans="1:32" ht="12.75" customHeight="1">
      <c r="A71" t="s">
        <v>47</v>
      </c>
      <c r="C71" s="81">
        <v>43724.438000000002</v>
      </c>
      <c r="D71" s="82"/>
      <c r="E71">
        <f t="shared" si="8"/>
        <v>-750.99792196186729</v>
      </c>
      <c r="F71">
        <f t="shared" si="9"/>
        <v>-751</v>
      </c>
      <c r="G71">
        <f t="shared" si="11"/>
        <v>2.9580000045825727E-3</v>
      </c>
      <c r="I71">
        <f t="shared" si="7"/>
        <v>2.9580000045825727E-3</v>
      </c>
      <c r="Q71" s="2">
        <f t="shared" si="10"/>
        <v>28705.938000000002</v>
      </c>
      <c r="AA71" t="s">
        <v>44</v>
      </c>
      <c r="AB71">
        <v>4</v>
      </c>
      <c r="AD71" t="s">
        <v>28</v>
      </c>
      <c r="AF71" t="s">
        <v>30</v>
      </c>
    </row>
    <row r="72" spans="1:32" ht="12.75" customHeight="1">
      <c r="A72" t="s">
        <v>47</v>
      </c>
      <c r="C72" s="81">
        <v>43744.362999999998</v>
      </c>
      <c r="D72" s="82"/>
      <c r="E72">
        <f t="shared" si="8"/>
        <v>-737.00031894161964</v>
      </c>
      <c r="F72">
        <f t="shared" si="9"/>
        <v>-737</v>
      </c>
      <c r="G72">
        <f t="shared" si="11"/>
        <v>-4.5400000090012327E-4</v>
      </c>
      <c r="I72">
        <f t="shared" si="7"/>
        <v>-4.5400000090012327E-4</v>
      </c>
      <c r="Q72" s="2">
        <f t="shared" si="10"/>
        <v>28725.862999999998</v>
      </c>
      <c r="AA72" t="s">
        <v>44</v>
      </c>
      <c r="AB72">
        <v>7</v>
      </c>
      <c r="AD72" t="s">
        <v>28</v>
      </c>
      <c r="AF72" t="s">
        <v>30</v>
      </c>
    </row>
    <row r="73" spans="1:32" ht="12.75" customHeight="1">
      <c r="A73" t="s">
        <v>48</v>
      </c>
      <c r="C73" s="81">
        <v>43811.27</v>
      </c>
      <c r="D73" s="82"/>
      <c r="E73">
        <f t="shared" si="8"/>
        <v>-689.99717589138618</v>
      </c>
      <c r="F73">
        <f t="shared" si="9"/>
        <v>-690</v>
      </c>
      <c r="G73">
        <f t="shared" si="11"/>
        <v>4.0200000003096648E-3</v>
      </c>
      <c r="I73">
        <f t="shared" si="7"/>
        <v>4.0200000003096648E-3</v>
      </c>
      <c r="Q73" s="2">
        <f t="shared" si="10"/>
        <v>28792.769999999997</v>
      </c>
      <c r="AA73" t="s">
        <v>44</v>
      </c>
      <c r="AB73">
        <v>9</v>
      </c>
      <c r="AD73" t="s">
        <v>33</v>
      </c>
      <c r="AF73" t="s">
        <v>30</v>
      </c>
    </row>
    <row r="74" spans="1:32" ht="12.75" customHeight="1">
      <c r="A74" t="s">
        <v>49</v>
      </c>
      <c r="C74" s="81">
        <v>44077.457999999999</v>
      </c>
      <c r="D74" s="82"/>
      <c r="E74">
        <f t="shared" si="8"/>
        <v>-502.99622468664256</v>
      </c>
      <c r="F74">
        <f t="shared" si="9"/>
        <v>-503</v>
      </c>
      <c r="G74">
        <f t="shared" si="11"/>
        <v>5.3740000003017485E-3</v>
      </c>
      <c r="I74">
        <f t="shared" si="7"/>
        <v>5.3740000003017485E-3</v>
      </c>
      <c r="Q74" s="2">
        <f t="shared" si="10"/>
        <v>29058.957999999999</v>
      </c>
      <c r="AA74" t="s">
        <v>44</v>
      </c>
      <c r="AB74">
        <v>6</v>
      </c>
      <c r="AD74" t="s">
        <v>28</v>
      </c>
      <c r="AF74" t="s">
        <v>30</v>
      </c>
    </row>
    <row r="75" spans="1:32" ht="12.75" customHeight="1">
      <c r="A75" s="46" t="s">
        <v>264</v>
      </c>
      <c r="B75" s="47" t="s">
        <v>78</v>
      </c>
      <c r="C75" s="80">
        <v>44101.656999999999</v>
      </c>
      <c r="D75" s="80" t="s">
        <v>106</v>
      </c>
      <c r="E75">
        <f t="shared" si="8"/>
        <v>-485.99607434852192</v>
      </c>
      <c r="F75">
        <f t="shared" si="9"/>
        <v>-486</v>
      </c>
      <c r="G75">
        <f t="shared" si="11"/>
        <v>5.5879999999888241E-3</v>
      </c>
      <c r="I75">
        <f t="shared" si="7"/>
        <v>5.5879999999888241E-3</v>
      </c>
      <c r="Q75" s="2">
        <f t="shared" si="10"/>
        <v>29083.156999999999</v>
      </c>
    </row>
    <row r="76" spans="1:32" ht="12.75" customHeight="1">
      <c r="A76" t="s">
        <v>50</v>
      </c>
      <c r="C76" s="81">
        <v>44134.392999999996</v>
      </c>
      <c r="D76" s="82"/>
      <c r="E76">
        <f t="shared" si="8"/>
        <v>-462.9985570350521</v>
      </c>
      <c r="F76">
        <f t="shared" si="9"/>
        <v>-463</v>
      </c>
      <c r="G76">
        <f t="shared" si="11"/>
        <v>2.0539999968605116E-3</v>
      </c>
      <c r="I76">
        <f t="shared" si="7"/>
        <v>2.0539999968605116E-3</v>
      </c>
      <c r="Q76" s="2">
        <f t="shared" si="10"/>
        <v>29115.892999999996</v>
      </c>
      <c r="AA76" t="s">
        <v>44</v>
      </c>
      <c r="AB76">
        <v>10</v>
      </c>
      <c r="AD76" t="s">
        <v>33</v>
      </c>
      <c r="AF76" t="s">
        <v>30</v>
      </c>
    </row>
    <row r="77" spans="1:32" ht="12.75" customHeight="1">
      <c r="A77" t="s">
        <v>50</v>
      </c>
      <c r="C77" s="81">
        <v>44144.364000000001</v>
      </c>
      <c r="D77" s="82"/>
      <c r="E77">
        <f t="shared" si="8"/>
        <v>-455.99378415098732</v>
      </c>
      <c r="F77">
        <f t="shared" si="9"/>
        <v>-456</v>
      </c>
      <c r="G77">
        <f t="shared" si="11"/>
        <v>8.8480000049457885E-3</v>
      </c>
      <c r="I77">
        <f t="shared" si="7"/>
        <v>8.8480000049457885E-3</v>
      </c>
      <c r="Q77" s="2">
        <f t="shared" si="10"/>
        <v>29125.864000000001</v>
      </c>
      <c r="AA77" t="s">
        <v>44</v>
      </c>
      <c r="AB77">
        <v>8</v>
      </c>
      <c r="AD77" t="s">
        <v>33</v>
      </c>
      <c r="AF77" t="s">
        <v>30</v>
      </c>
    </row>
    <row r="78" spans="1:32" ht="12.75" customHeight="1">
      <c r="A78" t="s">
        <v>50</v>
      </c>
      <c r="C78" s="81">
        <v>44164.288999999997</v>
      </c>
      <c r="D78" s="82"/>
      <c r="E78">
        <f t="shared" si="8"/>
        <v>-441.99618113073973</v>
      </c>
      <c r="F78">
        <f t="shared" si="9"/>
        <v>-442</v>
      </c>
      <c r="G78">
        <f t="shared" si="11"/>
        <v>5.4359999994630925E-3</v>
      </c>
      <c r="I78">
        <f t="shared" si="7"/>
        <v>5.4359999994630925E-3</v>
      </c>
      <c r="Q78" s="2">
        <f t="shared" si="10"/>
        <v>29145.788999999997</v>
      </c>
      <c r="AA78" t="s">
        <v>44</v>
      </c>
      <c r="AB78">
        <v>6</v>
      </c>
      <c r="AD78" t="s">
        <v>28</v>
      </c>
      <c r="AF78" t="s">
        <v>30</v>
      </c>
    </row>
    <row r="79" spans="1:32" ht="12.75" customHeight="1">
      <c r="A79" t="s">
        <v>51</v>
      </c>
      <c r="C79" s="81">
        <v>44211.245999999999</v>
      </c>
      <c r="D79" s="82"/>
      <c r="E79">
        <f t="shared" si="8"/>
        <v>-409.00820396527217</v>
      </c>
      <c r="F79">
        <f t="shared" si="9"/>
        <v>-409</v>
      </c>
      <c r="G79">
        <f t="shared" si="11"/>
        <v>-1.1677999995299615E-2</v>
      </c>
      <c r="I79">
        <f t="shared" si="7"/>
        <v>-1.1677999995299615E-2</v>
      </c>
      <c r="Q79" s="2">
        <f t="shared" si="10"/>
        <v>29192.745999999999</v>
      </c>
      <c r="AA79" t="s">
        <v>44</v>
      </c>
      <c r="AB79">
        <v>8</v>
      </c>
      <c r="AD79" t="s">
        <v>28</v>
      </c>
      <c r="AF79" t="s">
        <v>30</v>
      </c>
    </row>
    <row r="80" spans="1:32" ht="12.75" customHeight="1">
      <c r="A80" t="s">
        <v>52</v>
      </c>
      <c r="C80" s="81">
        <v>44487.404999999999</v>
      </c>
      <c r="D80" s="82"/>
      <c r="E80">
        <f t="shared" si="8"/>
        <v>-215.00247987646893</v>
      </c>
      <c r="F80">
        <f t="shared" si="9"/>
        <v>-215</v>
      </c>
      <c r="G80">
        <f t="shared" si="11"/>
        <v>-3.5300000017741695E-3</v>
      </c>
      <c r="I80">
        <f t="shared" si="7"/>
        <v>-3.5300000017741695E-3</v>
      </c>
      <c r="Q80" s="2">
        <f t="shared" si="10"/>
        <v>29468.904999999999</v>
      </c>
      <c r="AA80" t="s">
        <v>44</v>
      </c>
      <c r="AB80">
        <v>13</v>
      </c>
      <c r="AD80" t="s">
        <v>33</v>
      </c>
      <c r="AF80" t="s">
        <v>30</v>
      </c>
    </row>
    <row r="81" spans="1:32" ht="12.75" customHeight="1">
      <c r="A81" t="s">
        <v>52</v>
      </c>
      <c r="C81" s="81">
        <v>44497.375</v>
      </c>
      <c r="D81" s="82"/>
      <c r="E81">
        <f t="shared" si="8"/>
        <v>-207.99840950698757</v>
      </c>
      <c r="F81">
        <f t="shared" si="9"/>
        <v>-208</v>
      </c>
      <c r="G81">
        <f t="shared" si="11"/>
        <v>2.2640000024694018E-3</v>
      </c>
      <c r="I81">
        <f t="shared" si="7"/>
        <v>2.2640000024694018E-3</v>
      </c>
      <c r="Q81" s="2">
        <f t="shared" si="10"/>
        <v>29478.875</v>
      </c>
      <c r="AA81" t="s">
        <v>44</v>
      </c>
      <c r="AB81">
        <v>6</v>
      </c>
      <c r="AD81" t="s">
        <v>28</v>
      </c>
      <c r="AF81" t="s">
        <v>30</v>
      </c>
    </row>
    <row r="82" spans="1:32" ht="12.75" customHeight="1">
      <c r="A82" t="s">
        <v>52</v>
      </c>
      <c r="C82" s="81">
        <v>44507.362999999998</v>
      </c>
      <c r="D82" s="82"/>
      <c r="E82">
        <f t="shared" si="8"/>
        <v>-200.98169387505635</v>
      </c>
      <c r="F82">
        <f t="shared" si="9"/>
        <v>-201</v>
      </c>
      <c r="G82">
        <f t="shared" si="11"/>
        <v>2.6058000003104098E-2</v>
      </c>
      <c r="I82">
        <f t="shared" si="7"/>
        <v>2.6058000003104098E-2</v>
      </c>
      <c r="Q82" s="2">
        <f t="shared" si="10"/>
        <v>29488.862999999998</v>
      </c>
      <c r="AA82" t="s">
        <v>44</v>
      </c>
      <c r="AB82">
        <v>7</v>
      </c>
      <c r="AD82" t="s">
        <v>28</v>
      </c>
      <c r="AF82" t="s">
        <v>30</v>
      </c>
    </row>
    <row r="83" spans="1:32" ht="12.75" customHeight="1">
      <c r="A83" t="s">
        <v>13</v>
      </c>
      <c r="C83" s="82">
        <v>44793.451999999997</v>
      </c>
      <c r="D83" s="82" t="s">
        <v>15</v>
      </c>
      <c r="E83">
        <f t="shared" si="8"/>
        <v>0</v>
      </c>
      <c r="F83">
        <f t="shared" si="9"/>
        <v>0</v>
      </c>
      <c r="G83">
        <f t="shared" si="11"/>
        <v>0</v>
      </c>
      <c r="H83">
        <f>+G83</f>
        <v>0</v>
      </c>
      <c r="Q83" s="2">
        <f t="shared" si="10"/>
        <v>29774.951999999997</v>
      </c>
    </row>
    <row r="84" spans="1:32" ht="12.75" customHeight="1">
      <c r="A84" t="s">
        <v>53</v>
      </c>
      <c r="C84" s="81">
        <v>44793.457999999999</v>
      </c>
      <c r="D84" s="82"/>
      <c r="E84">
        <f t="shared" si="8"/>
        <v>4.21508748499946E-3</v>
      </c>
      <c r="F84">
        <f t="shared" si="9"/>
        <v>0</v>
      </c>
      <c r="G84">
        <f t="shared" si="11"/>
        <v>6.0000000012223609E-3</v>
      </c>
      <c r="I84">
        <f t="shared" ref="I84:I122" si="12">+G84</f>
        <v>6.0000000012223609E-3</v>
      </c>
      <c r="Q84" s="2">
        <f t="shared" si="10"/>
        <v>29774.957999999999</v>
      </c>
      <c r="AA84" t="s">
        <v>44</v>
      </c>
      <c r="AB84">
        <v>7</v>
      </c>
      <c r="AD84" t="s">
        <v>28</v>
      </c>
      <c r="AF84" t="s">
        <v>30</v>
      </c>
    </row>
    <row r="85" spans="1:32" ht="12.75" customHeight="1">
      <c r="A85" t="s">
        <v>55</v>
      </c>
      <c r="C85" s="81">
        <v>44907.322</v>
      </c>
      <c r="D85" s="82"/>
      <c r="E85">
        <f t="shared" ref="E85:E116" si="13">+(C85-C$7)/C$8</f>
        <v>79.995335303186067</v>
      </c>
      <c r="F85">
        <f t="shared" ref="F85:F116" si="14">ROUND(2*E85,0)/2</f>
        <v>80</v>
      </c>
      <c r="G85">
        <f t="shared" si="11"/>
        <v>-6.6399999996065162E-3</v>
      </c>
      <c r="I85">
        <f t="shared" si="12"/>
        <v>-6.6399999996065162E-3</v>
      </c>
      <c r="Q85" s="2">
        <f t="shared" ref="Q85:Q116" si="15">+C85-15018.5</f>
        <v>29888.822</v>
      </c>
      <c r="AA85" t="s">
        <v>44</v>
      </c>
      <c r="AB85">
        <v>5</v>
      </c>
      <c r="AD85" t="s">
        <v>54</v>
      </c>
      <c r="AF85" t="s">
        <v>30</v>
      </c>
    </row>
    <row r="86" spans="1:32" ht="12.75" customHeight="1">
      <c r="A86" t="s">
        <v>56</v>
      </c>
      <c r="C86" s="81">
        <v>44927.252</v>
      </c>
      <c r="D86" s="82"/>
      <c r="E86">
        <f t="shared" si="13"/>
        <v>93.996450896340406</v>
      </c>
      <c r="F86">
        <f t="shared" si="14"/>
        <v>94</v>
      </c>
      <c r="G86">
        <f t="shared" si="11"/>
        <v>-5.0520000004325993E-3</v>
      </c>
      <c r="I86">
        <f t="shared" si="12"/>
        <v>-5.0520000004325993E-3</v>
      </c>
      <c r="Q86" s="2">
        <f t="shared" si="15"/>
        <v>29908.752</v>
      </c>
      <c r="AA86" t="s">
        <v>44</v>
      </c>
      <c r="AB86">
        <v>4</v>
      </c>
      <c r="AD86" t="s">
        <v>54</v>
      </c>
      <c r="AF86" t="s">
        <v>30</v>
      </c>
    </row>
    <row r="87" spans="1:32" ht="12.75" customHeight="1">
      <c r="A87" t="s">
        <v>57</v>
      </c>
      <c r="C87" s="81">
        <v>45116.574000000001</v>
      </c>
      <c r="D87" s="82"/>
      <c r="E87">
        <f t="shared" si="13"/>
        <v>226.99791634175583</v>
      </c>
      <c r="F87">
        <f t="shared" si="14"/>
        <v>227</v>
      </c>
      <c r="G87">
        <f t="shared" si="11"/>
        <v>-2.9660000000149012E-3</v>
      </c>
      <c r="I87">
        <f t="shared" si="12"/>
        <v>-2.9660000000149012E-3</v>
      </c>
      <c r="Q87" s="2">
        <f t="shared" si="15"/>
        <v>30098.074000000001</v>
      </c>
      <c r="AA87" t="s">
        <v>44</v>
      </c>
      <c r="AB87">
        <v>6</v>
      </c>
      <c r="AD87" t="s">
        <v>28</v>
      </c>
      <c r="AF87" t="s">
        <v>30</v>
      </c>
    </row>
    <row r="88" spans="1:32" ht="12.75" customHeight="1">
      <c r="A88" t="s">
        <v>58</v>
      </c>
      <c r="C88" s="81">
        <v>45193.430999999997</v>
      </c>
      <c r="D88" s="82"/>
      <c r="E88">
        <f t="shared" si="13"/>
        <v>280.99107946985396</v>
      </c>
      <c r="F88">
        <f t="shared" si="14"/>
        <v>281</v>
      </c>
      <c r="G88">
        <f t="shared" si="11"/>
        <v>-1.2697999998636078E-2</v>
      </c>
      <c r="I88">
        <f t="shared" si="12"/>
        <v>-1.2697999998636078E-2</v>
      </c>
      <c r="Q88" s="2">
        <f t="shared" si="15"/>
        <v>30174.930999999997</v>
      </c>
      <c r="AA88" t="s">
        <v>44</v>
      </c>
      <c r="AB88">
        <v>6</v>
      </c>
      <c r="AD88" t="s">
        <v>28</v>
      </c>
      <c r="AF88" t="s">
        <v>30</v>
      </c>
    </row>
    <row r="89" spans="1:32" ht="12.75" customHeight="1">
      <c r="A89" t="s">
        <v>58</v>
      </c>
      <c r="C89" s="81">
        <v>45193.440000000002</v>
      </c>
      <c r="D89" s="82"/>
      <c r="E89">
        <f t="shared" si="13"/>
        <v>280.99740210108405</v>
      </c>
      <c r="F89">
        <f t="shared" si="14"/>
        <v>281</v>
      </c>
      <c r="G89">
        <f t="shared" si="11"/>
        <v>-3.697999993164558E-3</v>
      </c>
      <c r="I89">
        <f t="shared" si="12"/>
        <v>-3.697999993164558E-3</v>
      </c>
      <c r="Q89" s="2">
        <f t="shared" si="15"/>
        <v>30174.940000000002</v>
      </c>
      <c r="AA89" t="s">
        <v>44</v>
      </c>
      <c r="AB89">
        <v>13</v>
      </c>
      <c r="AD89" t="s">
        <v>59</v>
      </c>
      <c r="AF89" t="s">
        <v>30</v>
      </c>
    </row>
    <row r="90" spans="1:32" ht="12.75" customHeight="1">
      <c r="A90" t="s">
        <v>58</v>
      </c>
      <c r="C90" s="81">
        <v>45203.398999999998</v>
      </c>
      <c r="D90" s="82"/>
      <c r="E90">
        <f t="shared" si="13"/>
        <v>287.99374481017367</v>
      </c>
      <c r="F90">
        <f t="shared" si="14"/>
        <v>288</v>
      </c>
      <c r="G90">
        <f t="shared" si="11"/>
        <v>-8.904000002075918E-3</v>
      </c>
      <c r="I90">
        <f t="shared" si="12"/>
        <v>-8.904000002075918E-3</v>
      </c>
      <c r="Q90" s="2">
        <f t="shared" si="15"/>
        <v>30184.898999999998</v>
      </c>
      <c r="AA90" t="s">
        <v>44</v>
      </c>
      <c r="AB90">
        <v>9</v>
      </c>
      <c r="AD90" t="s">
        <v>59</v>
      </c>
      <c r="AF90" t="s">
        <v>30</v>
      </c>
    </row>
    <row r="91" spans="1:32" ht="12.75" customHeight="1">
      <c r="A91" t="s">
        <v>58</v>
      </c>
      <c r="C91" s="81">
        <v>45203.404000000002</v>
      </c>
      <c r="D91" s="82"/>
      <c r="E91">
        <f t="shared" si="13"/>
        <v>287.99725738308035</v>
      </c>
      <c r="F91">
        <f t="shared" si="14"/>
        <v>288</v>
      </c>
      <c r="G91">
        <f t="shared" si="11"/>
        <v>-3.9039999974193051E-3</v>
      </c>
      <c r="I91">
        <f t="shared" si="12"/>
        <v>-3.9039999974193051E-3</v>
      </c>
      <c r="Q91" s="2">
        <f t="shared" si="15"/>
        <v>30184.904000000002</v>
      </c>
      <c r="AA91" t="s">
        <v>44</v>
      </c>
      <c r="AB91">
        <v>8</v>
      </c>
      <c r="AD91" t="s">
        <v>33</v>
      </c>
      <c r="AF91" t="s">
        <v>30</v>
      </c>
    </row>
    <row r="92" spans="1:32" ht="12.75" customHeight="1">
      <c r="A92" t="s">
        <v>58</v>
      </c>
      <c r="C92" s="81">
        <v>45223.324999999997</v>
      </c>
      <c r="D92" s="82"/>
      <c r="E92">
        <f t="shared" si="13"/>
        <v>301.99205034500466</v>
      </c>
      <c r="F92">
        <f t="shared" si="14"/>
        <v>302</v>
      </c>
      <c r="G92">
        <f t="shared" si="11"/>
        <v>-1.1316000003716908E-2</v>
      </c>
      <c r="I92">
        <f t="shared" si="12"/>
        <v>-1.1316000003716908E-2</v>
      </c>
      <c r="Q92" s="2">
        <f t="shared" si="15"/>
        <v>30204.824999999997</v>
      </c>
      <c r="AA92" t="s">
        <v>44</v>
      </c>
      <c r="AB92">
        <v>7</v>
      </c>
      <c r="AD92" t="s">
        <v>28</v>
      </c>
      <c r="AF92" t="s">
        <v>30</v>
      </c>
    </row>
    <row r="93" spans="1:32" ht="12.75" customHeight="1">
      <c r="A93" s="46" t="s">
        <v>264</v>
      </c>
      <c r="B93" s="47" t="s">
        <v>78</v>
      </c>
      <c r="C93" s="80">
        <v>45264.627999999997</v>
      </c>
      <c r="D93" s="80" t="s">
        <v>106</v>
      </c>
      <c r="E93">
        <f t="shared" si="13"/>
        <v>331.00801007124869</v>
      </c>
      <c r="F93">
        <f t="shared" si="14"/>
        <v>331</v>
      </c>
      <c r="G93">
        <f t="shared" si="11"/>
        <v>1.1401999996451195E-2</v>
      </c>
      <c r="I93">
        <f t="shared" si="12"/>
        <v>1.1401999996451195E-2</v>
      </c>
      <c r="Q93" s="2">
        <f t="shared" si="15"/>
        <v>30246.127999999997</v>
      </c>
    </row>
    <row r="94" spans="1:32" ht="12.75" customHeight="1">
      <c r="A94" t="s">
        <v>60</v>
      </c>
      <c r="C94" s="81">
        <v>45526.527999999998</v>
      </c>
      <c r="D94" s="82"/>
      <c r="E94">
        <f t="shared" si="13"/>
        <v>514.99657875399271</v>
      </c>
      <c r="F94">
        <f t="shared" si="14"/>
        <v>515</v>
      </c>
      <c r="G94">
        <f t="shared" si="11"/>
        <v>-4.8699999970267527E-3</v>
      </c>
      <c r="I94">
        <f t="shared" si="12"/>
        <v>-4.8699999970267527E-3</v>
      </c>
      <c r="Q94" s="2">
        <f t="shared" si="15"/>
        <v>30508.027999999998</v>
      </c>
      <c r="AA94" t="s">
        <v>44</v>
      </c>
      <c r="AB94">
        <v>6</v>
      </c>
      <c r="AD94" t="s">
        <v>59</v>
      </c>
      <c r="AF94" t="s">
        <v>30</v>
      </c>
    </row>
    <row r="95" spans="1:32" ht="12.75" customHeight="1">
      <c r="A95" t="s">
        <v>61</v>
      </c>
      <c r="C95" s="81">
        <v>45613.345999999998</v>
      </c>
      <c r="D95" s="82"/>
      <c r="E95">
        <f t="shared" si="13"/>
        <v>575.98748962034733</v>
      </c>
      <c r="F95">
        <f t="shared" si="14"/>
        <v>576</v>
      </c>
      <c r="G95">
        <f t="shared" ref="G95:G126" si="16">+C95-(C$7+F95*C$8)</f>
        <v>-1.7807999996875878E-2</v>
      </c>
      <c r="I95">
        <f t="shared" si="12"/>
        <v>-1.7807999996875878E-2</v>
      </c>
      <c r="Q95" s="2">
        <f t="shared" si="15"/>
        <v>30594.845999999998</v>
      </c>
      <c r="AA95" t="s">
        <v>44</v>
      </c>
      <c r="AB95">
        <v>5</v>
      </c>
      <c r="AD95" t="s">
        <v>54</v>
      </c>
      <c r="AF95" t="s">
        <v>30</v>
      </c>
    </row>
    <row r="96" spans="1:32" ht="12.75" customHeight="1">
      <c r="A96" t="s">
        <v>61</v>
      </c>
      <c r="C96" s="81">
        <v>45613.364000000001</v>
      </c>
      <c r="D96" s="82"/>
      <c r="E96">
        <f t="shared" si="13"/>
        <v>576.00013488280229</v>
      </c>
      <c r="F96">
        <f t="shared" si="14"/>
        <v>576</v>
      </c>
      <c r="G96">
        <f t="shared" si="16"/>
        <v>1.9200000679120421E-4</v>
      </c>
      <c r="I96">
        <f t="shared" si="12"/>
        <v>1.9200000679120421E-4</v>
      </c>
      <c r="Q96" s="2">
        <f t="shared" si="15"/>
        <v>30594.864000000001</v>
      </c>
      <c r="AA96" t="s">
        <v>44</v>
      </c>
      <c r="AB96">
        <v>10</v>
      </c>
      <c r="AD96" t="s">
        <v>33</v>
      </c>
      <c r="AF96" t="s">
        <v>30</v>
      </c>
    </row>
    <row r="97" spans="1:32" ht="12.75" customHeight="1">
      <c r="A97" s="46" t="s">
        <v>264</v>
      </c>
      <c r="B97" s="47" t="s">
        <v>78</v>
      </c>
      <c r="C97" s="80">
        <v>45876.718999999997</v>
      </c>
      <c r="D97" s="80" t="s">
        <v>106</v>
      </c>
      <c r="E97">
        <f t="shared" si="13"/>
        <v>761.01086228044653</v>
      </c>
      <c r="F97">
        <f t="shared" si="14"/>
        <v>761</v>
      </c>
      <c r="G97">
        <f t="shared" si="16"/>
        <v>1.5462000003026333E-2</v>
      </c>
      <c r="I97">
        <f t="shared" si="12"/>
        <v>1.5462000003026333E-2</v>
      </c>
      <c r="Q97" s="2">
        <f t="shared" si="15"/>
        <v>30858.218999999997</v>
      </c>
    </row>
    <row r="98" spans="1:32" ht="12.75" customHeight="1">
      <c r="A98" t="s">
        <v>62</v>
      </c>
      <c r="C98" s="81">
        <v>45902.326999999997</v>
      </c>
      <c r="D98" s="82"/>
      <c r="E98">
        <f t="shared" si="13"/>
        <v>779.00085566275936</v>
      </c>
      <c r="F98">
        <f t="shared" si="14"/>
        <v>779</v>
      </c>
      <c r="G98">
        <f t="shared" si="16"/>
        <v>1.2179999976069666E-3</v>
      </c>
      <c r="I98">
        <f t="shared" si="12"/>
        <v>1.2179999976069666E-3</v>
      </c>
      <c r="Q98" s="2">
        <f t="shared" si="15"/>
        <v>30883.826999999997</v>
      </c>
      <c r="AA98" t="s">
        <v>44</v>
      </c>
      <c r="AB98">
        <v>6</v>
      </c>
      <c r="AD98" t="s">
        <v>28</v>
      </c>
      <c r="AF98" t="s">
        <v>30</v>
      </c>
    </row>
    <row r="99" spans="1:32" ht="12.75" customHeight="1">
      <c r="A99" t="s">
        <v>62</v>
      </c>
      <c r="C99" s="81">
        <v>45909.442000000003</v>
      </c>
      <c r="D99" s="82"/>
      <c r="E99">
        <f t="shared" si="13"/>
        <v>783.99924690437319</v>
      </c>
      <c r="F99">
        <f t="shared" si="14"/>
        <v>784</v>
      </c>
      <c r="G99">
        <f t="shared" si="16"/>
        <v>-1.071999991836492E-3</v>
      </c>
      <c r="I99">
        <f t="shared" si="12"/>
        <v>-1.071999991836492E-3</v>
      </c>
      <c r="Q99" s="2">
        <f t="shared" si="15"/>
        <v>30890.942000000003</v>
      </c>
      <c r="AA99" t="s">
        <v>44</v>
      </c>
      <c r="AB99">
        <v>6</v>
      </c>
      <c r="AD99" t="s">
        <v>28</v>
      </c>
      <c r="AF99" t="s">
        <v>30</v>
      </c>
    </row>
    <row r="100" spans="1:32" ht="12.75" customHeight="1">
      <c r="A100" t="s">
        <v>63</v>
      </c>
      <c r="C100" s="81">
        <v>45946.425000000003</v>
      </c>
      <c r="D100" s="82"/>
      <c r="E100">
        <f t="shared" si="13"/>
        <v>809.98034364203613</v>
      </c>
      <c r="F100">
        <f t="shared" si="14"/>
        <v>810</v>
      </c>
      <c r="G100">
        <f t="shared" si="16"/>
        <v>-2.7979999991657678E-2</v>
      </c>
      <c r="I100">
        <f t="shared" si="12"/>
        <v>-2.7979999991657678E-2</v>
      </c>
      <c r="Q100" s="2">
        <f t="shared" si="15"/>
        <v>30927.925000000003</v>
      </c>
      <c r="AA100" t="s">
        <v>44</v>
      </c>
      <c r="AB100">
        <v>8</v>
      </c>
      <c r="AD100" t="s">
        <v>59</v>
      </c>
      <c r="AF100" t="s">
        <v>30</v>
      </c>
    </row>
    <row r="101" spans="1:32" ht="12.75" customHeight="1">
      <c r="A101" t="s">
        <v>63</v>
      </c>
      <c r="C101" s="81">
        <v>45946.438000000002</v>
      </c>
      <c r="D101" s="82"/>
      <c r="E101">
        <f t="shared" si="13"/>
        <v>809.98947633158446</v>
      </c>
      <c r="F101">
        <f t="shared" si="14"/>
        <v>810</v>
      </c>
      <c r="G101">
        <f t="shared" si="16"/>
        <v>-1.4979999992647208E-2</v>
      </c>
      <c r="I101">
        <f t="shared" si="12"/>
        <v>-1.4979999992647208E-2</v>
      </c>
      <c r="Q101" s="2">
        <f t="shared" si="15"/>
        <v>30927.938000000002</v>
      </c>
      <c r="AA101" t="s">
        <v>44</v>
      </c>
      <c r="AB101">
        <v>9</v>
      </c>
      <c r="AD101" t="s">
        <v>33</v>
      </c>
      <c r="AF101" t="s">
        <v>30</v>
      </c>
    </row>
    <row r="102" spans="1:32" ht="12.75" customHeight="1">
      <c r="A102" t="s">
        <v>64</v>
      </c>
      <c r="C102" s="81">
        <v>46299.455000000002</v>
      </c>
      <c r="D102" s="82"/>
      <c r="E102">
        <f t="shared" si="13"/>
        <v>1057.9890660630692</v>
      </c>
      <c r="F102">
        <f t="shared" si="14"/>
        <v>1058</v>
      </c>
      <c r="G102">
        <f t="shared" si="16"/>
        <v>-1.5563999993901234E-2</v>
      </c>
      <c r="I102">
        <f t="shared" si="12"/>
        <v>-1.5563999993901234E-2</v>
      </c>
      <c r="Q102" s="2">
        <f t="shared" si="15"/>
        <v>31280.955000000002</v>
      </c>
      <c r="AA102" t="s">
        <v>44</v>
      </c>
      <c r="AB102">
        <v>7</v>
      </c>
      <c r="AD102" t="s">
        <v>33</v>
      </c>
      <c r="AF102" t="s">
        <v>30</v>
      </c>
    </row>
    <row r="103" spans="1:32" ht="12.75" customHeight="1">
      <c r="A103" t="s">
        <v>64</v>
      </c>
      <c r="C103" s="81">
        <v>46319.356</v>
      </c>
      <c r="D103" s="82"/>
      <c r="E103">
        <f t="shared" si="13"/>
        <v>1071.969808733382</v>
      </c>
      <c r="F103">
        <f t="shared" si="14"/>
        <v>1072</v>
      </c>
      <c r="G103">
        <f t="shared" si="16"/>
        <v>-4.2975999996997416E-2</v>
      </c>
      <c r="I103">
        <f t="shared" si="12"/>
        <v>-4.2975999996997416E-2</v>
      </c>
      <c r="Q103" s="2">
        <f t="shared" si="15"/>
        <v>31300.856</v>
      </c>
      <c r="AA103" t="s">
        <v>44</v>
      </c>
      <c r="AB103">
        <v>7</v>
      </c>
      <c r="AD103" t="s">
        <v>33</v>
      </c>
      <c r="AF103" t="s">
        <v>30</v>
      </c>
    </row>
    <row r="104" spans="1:32" ht="12.75" customHeight="1">
      <c r="A104" t="s">
        <v>65</v>
      </c>
      <c r="C104" s="81">
        <v>46329.35</v>
      </c>
      <c r="D104" s="82"/>
      <c r="E104">
        <f t="shared" si="13"/>
        <v>1078.9907394527982</v>
      </c>
      <c r="F104">
        <f t="shared" si="14"/>
        <v>1079</v>
      </c>
      <c r="G104">
        <f t="shared" si="16"/>
        <v>-1.3182000002416316E-2</v>
      </c>
      <c r="I104">
        <f t="shared" si="12"/>
        <v>-1.3182000002416316E-2</v>
      </c>
      <c r="Q104" s="2">
        <f t="shared" si="15"/>
        <v>31310.85</v>
      </c>
      <c r="AA104" t="s">
        <v>44</v>
      </c>
      <c r="AF104" t="s">
        <v>66</v>
      </c>
    </row>
    <row r="105" spans="1:32" ht="12.75" customHeight="1">
      <c r="A105" t="s">
        <v>68</v>
      </c>
      <c r="C105" s="81">
        <v>46702.300999999999</v>
      </c>
      <c r="D105" s="82"/>
      <c r="E105">
        <f t="shared" si="13"/>
        <v>1340.9942548357606</v>
      </c>
      <c r="F105">
        <f t="shared" si="14"/>
        <v>1341</v>
      </c>
      <c r="G105">
        <f t="shared" si="16"/>
        <v>-8.1779999964055605E-3</v>
      </c>
      <c r="I105">
        <f t="shared" si="12"/>
        <v>-8.1779999964055605E-3</v>
      </c>
      <c r="Q105" s="2">
        <f t="shared" si="15"/>
        <v>31683.800999999999</v>
      </c>
      <c r="AA105" t="s">
        <v>44</v>
      </c>
      <c r="AB105">
        <v>22</v>
      </c>
      <c r="AD105" t="s">
        <v>67</v>
      </c>
      <c r="AF105" t="s">
        <v>30</v>
      </c>
    </row>
    <row r="106" spans="1:32" ht="12.75" customHeight="1">
      <c r="A106" t="s">
        <v>69</v>
      </c>
      <c r="C106" s="81">
        <v>47368.483999999997</v>
      </c>
      <c r="D106" s="82"/>
      <c r="E106">
        <f t="shared" si="13"/>
        <v>1808.9975257436465</v>
      </c>
      <c r="F106">
        <f t="shared" si="14"/>
        <v>1809</v>
      </c>
      <c r="G106">
        <f t="shared" si="16"/>
        <v>-3.5219999990658835E-3</v>
      </c>
      <c r="I106">
        <f t="shared" si="12"/>
        <v>-3.5219999990658835E-3</v>
      </c>
      <c r="Q106" s="2">
        <f t="shared" si="15"/>
        <v>32349.983999999997</v>
      </c>
      <c r="AA106" t="s">
        <v>44</v>
      </c>
      <c r="AB106">
        <v>12</v>
      </c>
      <c r="AD106" t="s">
        <v>59</v>
      </c>
      <c r="AF106" t="s">
        <v>30</v>
      </c>
    </row>
    <row r="107" spans="1:32" ht="12.75" customHeight="1">
      <c r="A107" t="s">
        <v>69</v>
      </c>
      <c r="C107" s="81">
        <v>47388.396999999997</v>
      </c>
      <c r="D107" s="82"/>
      <c r="E107">
        <f t="shared" si="13"/>
        <v>1822.9866985889291</v>
      </c>
      <c r="F107">
        <f t="shared" si="14"/>
        <v>1823</v>
      </c>
      <c r="G107">
        <f t="shared" si="16"/>
        <v>-1.8933999999717344E-2</v>
      </c>
      <c r="I107">
        <f t="shared" si="12"/>
        <v>-1.8933999999717344E-2</v>
      </c>
      <c r="Q107" s="2">
        <f t="shared" si="15"/>
        <v>32369.896999999997</v>
      </c>
      <c r="AA107" t="s">
        <v>44</v>
      </c>
      <c r="AB107">
        <v>9</v>
      </c>
      <c r="AD107" t="s">
        <v>70</v>
      </c>
      <c r="AF107" t="s">
        <v>30</v>
      </c>
    </row>
    <row r="108" spans="1:32" ht="12.75" customHeight="1">
      <c r="A108" s="46" t="s">
        <v>264</v>
      </c>
      <c r="B108" s="47" t="s">
        <v>78</v>
      </c>
      <c r="C108" s="80">
        <v>47465.281999999999</v>
      </c>
      <c r="D108" s="80" t="s">
        <v>106</v>
      </c>
      <c r="E108">
        <f t="shared" si="13"/>
        <v>1876.9995321252907</v>
      </c>
      <c r="F108">
        <f t="shared" si="14"/>
        <v>1877</v>
      </c>
      <c r="G108">
        <f t="shared" si="16"/>
        <v>-6.6599999991012737E-4</v>
      </c>
      <c r="I108">
        <f t="shared" si="12"/>
        <v>-6.6599999991012737E-4</v>
      </c>
      <c r="O108">
        <f t="shared" ref="O108:O151" ca="1" si="17">+C$11+C$12*$F108</f>
        <v>-1.6214528255760134E-2</v>
      </c>
      <c r="Q108" s="2">
        <f t="shared" si="15"/>
        <v>32446.781999999999</v>
      </c>
    </row>
    <row r="109" spans="1:32" ht="12.75" customHeight="1">
      <c r="A109" s="46" t="s">
        <v>264</v>
      </c>
      <c r="B109" s="47" t="s">
        <v>78</v>
      </c>
      <c r="C109" s="80">
        <v>47688.777999999998</v>
      </c>
      <c r="D109" s="80" t="s">
        <v>106</v>
      </c>
      <c r="E109">
        <f t="shared" si="13"/>
        <v>2034.0087308512095</v>
      </c>
      <c r="F109">
        <f t="shared" si="14"/>
        <v>2034</v>
      </c>
      <c r="G109">
        <f t="shared" si="16"/>
        <v>1.2428000001818873E-2</v>
      </c>
      <c r="I109">
        <f t="shared" si="12"/>
        <v>1.2428000001818873E-2</v>
      </c>
      <c r="O109">
        <f t="shared" ca="1" si="17"/>
        <v>-1.5530382069791054E-2</v>
      </c>
      <c r="Q109" s="2">
        <f t="shared" si="15"/>
        <v>32670.277999999998</v>
      </c>
    </row>
    <row r="110" spans="1:32" ht="12.75" customHeight="1">
      <c r="A110" t="s">
        <v>71</v>
      </c>
      <c r="C110" s="81">
        <v>47768.461000000003</v>
      </c>
      <c r="D110" s="82"/>
      <c r="E110">
        <f t="shared" si="13"/>
        <v>2089.9872001843437</v>
      </c>
      <c r="F110">
        <f t="shared" si="14"/>
        <v>2090</v>
      </c>
      <c r="G110">
        <f t="shared" si="16"/>
        <v>-1.8219999990833458E-2</v>
      </c>
      <c r="I110">
        <f t="shared" si="12"/>
        <v>-1.8219999990833458E-2</v>
      </c>
      <c r="O110">
        <f t="shared" ca="1" si="17"/>
        <v>-1.5286355404732018E-2</v>
      </c>
      <c r="Q110" s="2">
        <f t="shared" si="15"/>
        <v>32749.961000000003</v>
      </c>
      <c r="AA110" t="s">
        <v>44</v>
      </c>
      <c r="AB110">
        <v>8</v>
      </c>
      <c r="AD110" t="s">
        <v>33</v>
      </c>
      <c r="AF110" t="s">
        <v>30</v>
      </c>
    </row>
    <row r="111" spans="1:32" ht="12.75" customHeight="1">
      <c r="A111" t="s">
        <v>72</v>
      </c>
      <c r="C111" s="81">
        <v>48094.436999999998</v>
      </c>
      <c r="D111" s="82"/>
      <c r="E111">
        <f t="shared" si="13"/>
        <v>2318.9900931393836</v>
      </c>
      <c r="F111">
        <f t="shared" si="14"/>
        <v>2319</v>
      </c>
      <c r="G111">
        <f t="shared" si="16"/>
        <v>-1.4102000001003034E-2</v>
      </c>
      <c r="I111">
        <f t="shared" si="12"/>
        <v>-1.4102000001003034E-2</v>
      </c>
      <c r="O111">
        <f t="shared" ca="1" si="17"/>
        <v>-1.4288460649401319E-2</v>
      </c>
      <c r="Q111" s="2">
        <f t="shared" si="15"/>
        <v>33075.936999999998</v>
      </c>
      <c r="AA111" t="s">
        <v>44</v>
      </c>
      <c r="AB111">
        <v>10</v>
      </c>
      <c r="AD111" t="s">
        <v>59</v>
      </c>
      <c r="AF111" t="s">
        <v>30</v>
      </c>
    </row>
    <row r="112" spans="1:32" ht="12.75" customHeight="1">
      <c r="A112" t="s">
        <v>73</v>
      </c>
      <c r="C112" s="81">
        <v>48484.468000000001</v>
      </c>
      <c r="D112" s="82">
        <v>5.0000000000000001E-3</v>
      </c>
      <c r="E112">
        <f t="shared" si="13"/>
        <v>2592.9925575605348</v>
      </c>
      <c r="F112">
        <f t="shared" si="14"/>
        <v>2593</v>
      </c>
      <c r="G112">
        <f t="shared" si="16"/>
        <v>-1.0593999999400694E-2</v>
      </c>
      <c r="I112">
        <f t="shared" si="12"/>
        <v>-1.0593999999400694E-2</v>
      </c>
      <c r="O112">
        <f t="shared" ca="1" si="17"/>
        <v>-1.3094473038219609E-2</v>
      </c>
      <c r="Q112" s="2">
        <f t="shared" si="15"/>
        <v>33465.968000000001</v>
      </c>
      <c r="AA112" t="s">
        <v>44</v>
      </c>
      <c r="AB112">
        <v>7</v>
      </c>
      <c r="AD112" t="s">
        <v>33</v>
      </c>
      <c r="AF112" t="s">
        <v>30</v>
      </c>
    </row>
    <row r="113" spans="1:32" ht="12.75" customHeight="1">
      <c r="A113" t="s">
        <v>74</v>
      </c>
      <c r="C113" s="81">
        <v>49220.406000000003</v>
      </c>
      <c r="D113" s="82">
        <v>6.0000000000000001E-3</v>
      </c>
      <c r="E113">
        <f t="shared" si="13"/>
        <v>3109.999733044463</v>
      </c>
      <c r="F113">
        <f t="shared" si="14"/>
        <v>3110</v>
      </c>
      <c r="G113">
        <f t="shared" si="16"/>
        <v>-3.7999999767635018E-4</v>
      </c>
      <c r="I113">
        <f t="shared" si="12"/>
        <v>-3.7999999767635018E-4</v>
      </c>
      <c r="O113">
        <f t="shared" ca="1" si="17"/>
        <v>-1.0841584005442439E-2</v>
      </c>
      <c r="Q113" s="2">
        <f t="shared" si="15"/>
        <v>34201.906000000003</v>
      </c>
      <c r="AA113" t="s">
        <v>44</v>
      </c>
      <c r="AB113">
        <v>10</v>
      </c>
      <c r="AD113" t="s">
        <v>33</v>
      </c>
      <c r="AF113" t="s">
        <v>30</v>
      </c>
    </row>
    <row r="114" spans="1:32" ht="12.75" customHeight="1">
      <c r="A114" t="s">
        <v>75</v>
      </c>
      <c r="C114" s="81">
        <v>50336.391000000003</v>
      </c>
      <c r="D114" s="82">
        <v>2E-3</v>
      </c>
      <c r="E114">
        <f t="shared" si="13"/>
        <v>3893.9954673759298</v>
      </c>
      <c r="F114">
        <f t="shared" si="14"/>
        <v>3894</v>
      </c>
      <c r="G114">
        <f t="shared" si="16"/>
        <v>-6.451999994169455E-3</v>
      </c>
      <c r="I114">
        <f t="shared" si="12"/>
        <v>-6.451999994169455E-3</v>
      </c>
      <c r="O114">
        <f t="shared" ca="1" si="17"/>
        <v>-7.4252106946159427E-3</v>
      </c>
      <c r="Q114" s="2">
        <f t="shared" si="15"/>
        <v>35317.891000000003</v>
      </c>
      <c r="AA114" t="s">
        <v>44</v>
      </c>
      <c r="AB114">
        <v>8</v>
      </c>
      <c r="AD114" t="s">
        <v>59</v>
      </c>
      <c r="AF114" t="s">
        <v>30</v>
      </c>
    </row>
    <row r="115" spans="1:32" ht="12.75" customHeight="1">
      <c r="A115" s="30" t="s">
        <v>76</v>
      </c>
      <c r="B115" s="30"/>
      <c r="C115" s="83">
        <v>50699.377999999997</v>
      </c>
      <c r="D115" s="84">
        <v>4.0000000000000001E-3</v>
      </c>
      <c r="E115">
        <f t="shared" si="13"/>
        <v>4148.9991274768909</v>
      </c>
      <c r="F115">
        <f t="shared" si="14"/>
        <v>4149</v>
      </c>
      <c r="G115">
        <f t="shared" si="16"/>
        <v>-1.2419999984558672E-3</v>
      </c>
      <c r="I115">
        <f t="shared" si="12"/>
        <v>-1.2419999984558672E-3</v>
      </c>
      <c r="O115">
        <f t="shared" ca="1" si="17"/>
        <v>-6.3140178447935458E-3</v>
      </c>
      <c r="Q115" s="2">
        <f t="shared" si="15"/>
        <v>35680.877999999997</v>
      </c>
      <c r="AA115" t="s">
        <v>44</v>
      </c>
      <c r="AB115">
        <v>9</v>
      </c>
      <c r="AD115" t="s">
        <v>59</v>
      </c>
      <c r="AF115" t="s">
        <v>30</v>
      </c>
    </row>
    <row r="116" spans="1:32" ht="12.75" customHeight="1">
      <c r="A116" s="46" t="s">
        <v>264</v>
      </c>
      <c r="B116" s="47" t="s">
        <v>78</v>
      </c>
      <c r="C116" s="80">
        <v>50723.586000000003</v>
      </c>
      <c r="D116" s="80" t="s">
        <v>106</v>
      </c>
      <c r="E116">
        <f t="shared" si="13"/>
        <v>4166.0056004462413</v>
      </c>
      <c r="F116">
        <f t="shared" si="14"/>
        <v>4166</v>
      </c>
      <c r="G116">
        <f t="shared" si="16"/>
        <v>7.9720000067027286E-3</v>
      </c>
      <c r="I116">
        <f t="shared" si="12"/>
        <v>7.9720000067027286E-3</v>
      </c>
      <c r="O116">
        <f t="shared" ca="1" si="17"/>
        <v>-6.2399383214720543E-3</v>
      </c>
      <c r="Q116" s="2">
        <f t="shared" si="15"/>
        <v>35705.086000000003</v>
      </c>
    </row>
    <row r="117" spans="1:32" ht="12.75" customHeight="1">
      <c r="A117" s="46" t="s">
        <v>264</v>
      </c>
      <c r="B117" s="47" t="s">
        <v>78</v>
      </c>
      <c r="C117" s="80">
        <v>51486.557000000001</v>
      </c>
      <c r="D117" s="80" t="s">
        <v>106</v>
      </c>
      <c r="E117">
        <f t="shared" ref="E117:E151" si="18">+(C117-C$7)/C$8</f>
        <v>4702.0038525899636</v>
      </c>
      <c r="F117">
        <f t="shared" ref="F117:F148" si="19">ROUND(2*E117,0)/2</f>
        <v>4702</v>
      </c>
      <c r="G117">
        <f t="shared" si="16"/>
        <v>5.4840000011608936E-3</v>
      </c>
      <c r="I117">
        <f t="shared" si="12"/>
        <v>5.4840000011608936E-3</v>
      </c>
      <c r="O117">
        <f t="shared" ca="1" si="17"/>
        <v>-3.9042545273355704E-3</v>
      </c>
      <c r="Q117" s="2">
        <f t="shared" ref="Q117:Q151" si="20">+C117-15018.5</f>
        <v>36468.057000000001</v>
      </c>
    </row>
    <row r="118" spans="1:32" ht="12.75" customHeight="1">
      <c r="A118" s="46" t="s">
        <v>426</v>
      </c>
      <c r="B118" s="47" t="s">
        <v>78</v>
      </c>
      <c r="C118" s="80">
        <v>51734.235000000001</v>
      </c>
      <c r="D118" s="80" t="s">
        <v>106</v>
      </c>
      <c r="E118">
        <f t="shared" si="18"/>
        <v>4876.0012589061307</v>
      </c>
      <c r="F118">
        <f t="shared" si="19"/>
        <v>4876</v>
      </c>
      <c r="G118">
        <f t="shared" si="16"/>
        <v>1.7920000027515925E-3</v>
      </c>
      <c r="I118">
        <f t="shared" si="12"/>
        <v>1.7920000027515925E-3</v>
      </c>
      <c r="O118">
        <f t="shared" ca="1" si="17"/>
        <v>-3.146028818044995E-3</v>
      </c>
      <c r="Q118" s="2">
        <f t="shared" si="20"/>
        <v>36715.735000000001</v>
      </c>
    </row>
    <row r="119" spans="1:32" ht="12.75" customHeight="1">
      <c r="A119" s="46" t="s">
        <v>264</v>
      </c>
      <c r="B119" s="47" t="s">
        <v>78</v>
      </c>
      <c r="C119" s="80">
        <v>52182.621299999999</v>
      </c>
      <c r="D119" s="80" t="s">
        <v>106</v>
      </c>
      <c r="E119">
        <f t="shared" si="18"/>
        <v>5190.9991724378251</v>
      </c>
      <c r="F119">
        <f t="shared" si="19"/>
        <v>5191</v>
      </c>
      <c r="G119">
        <f t="shared" si="16"/>
        <v>-1.1779999986174516E-3</v>
      </c>
      <c r="I119">
        <f t="shared" si="12"/>
        <v>-1.1779999986174516E-3</v>
      </c>
      <c r="O119">
        <f t="shared" ca="1" si="17"/>
        <v>-1.7733788270879215E-3</v>
      </c>
      <c r="Q119" s="2">
        <f t="shared" si="20"/>
        <v>37164.121299999999</v>
      </c>
    </row>
    <row r="120" spans="1:32" ht="12.75" customHeight="1">
      <c r="A120" s="46" t="s">
        <v>434</v>
      </c>
      <c r="B120" s="47" t="s">
        <v>78</v>
      </c>
      <c r="C120" s="80">
        <v>52223.902000000002</v>
      </c>
      <c r="D120" s="80" t="s">
        <v>106</v>
      </c>
      <c r="E120">
        <f t="shared" si="18"/>
        <v>5219.9994660889224</v>
      </c>
      <c r="F120">
        <f t="shared" si="19"/>
        <v>5220</v>
      </c>
      <c r="G120">
        <f t="shared" si="16"/>
        <v>-7.5999999535270035E-4</v>
      </c>
      <c r="I120">
        <f t="shared" si="12"/>
        <v>-7.5999999535270035E-4</v>
      </c>
      <c r="O120">
        <f t="shared" ca="1" si="17"/>
        <v>-1.6470078755394905E-3</v>
      </c>
      <c r="Q120" s="2">
        <f t="shared" si="20"/>
        <v>37205.402000000002</v>
      </c>
    </row>
    <row r="121" spans="1:32" ht="12.75" customHeight="1">
      <c r="A121" s="46" t="s">
        <v>264</v>
      </c>
      <c r="B121" s="47" t="s">
        <v>78</v>
      </c>
      <c r="C121" s="80">
        <v>52448.809000000001</v>
      </c>
      <c r="D121" s="80" t="s">
        <v>106</v>
      </c>
      <c r="E121">
        <f t="shared" si="18"/>
        <v>5377.9999128881946</v>
      </c>
      <c r="F121">
        <f t="shared" si="19"/>
        <v>5378</v>
      </c>
      <c r="G121">
        <f t="shared" si="16"/>
        <v>-1.2399999832268804E-4</v>
      </c>
      <c r="I121">
        <f t="shared" si="12"/>
        <v>-1.2399999832268804E-4</v>
      </c>
      <c r="O121">
        <f t="shared" ca="1" si="17"/>
        <v>-9.5850407055149758E-4</v>
      </c>
      <c r="Q121" s="2">
        <f t="shared" si="20"/>
        <v>37430.309000000001</v>
      </c>
    </row>
    <row r="122" spans="1:32" ht="12.75" customHeight="1">
      <c r="A122" s="46" t="s">
        <v>264</v>
      </c>
      <c r="B122" s="47" t="s">
        <v>78</v>
      </c>
      <c r="C122" s="80">
        <v>52468.736499999999</v>
      </c>
      <c r="D122" s="80" t="s">
        <v>106</v>
      </c>
      <c r="E122">
        <f t="shared" si="18"/>
        <v>5391.9992721948956</v>
      </c>
      <c r="F122">
        <f t="shared" si="19"/>
        <v>5392</v>
      </c>
      <c r="G122">
        <f t="shared" si="16"/>
        <v>-1.0360000014770776E-3</v>
      </c>
      <c r="I122">
        <f t="shared" si="12"/>
        <v>-1.0360000014770776E-3</v>
      </c>
      <c r="O122">
        <f t="shared" ca="1" si="17"/>
        <v>-8.9749740428674007E-4</v>
      </c>
      <c r="Q122" s="2">
        <f t="shared" si="20"/>
        <v>37450.236499999999</v>
      </c>
    </row>
    <row r="123" spans="1:32" ht="12.75" customHeight="1">
      <c r="A123" s="30" t="s">
        <v>77</v>
      </c>
      <c r="B123" s="30" t="s">
        <v>78</v>
      </c>
      <c r="C123" s="84">
        <v>52521.405599999998</v>
      </c>
      <c r="D123" s="84">
        <v>2.9999999999999997E-4</v>
      </c>
      <c r="E123">
        <f t="shared" si="18"/>
        <v>5429.0000828967213</v>
      </c>
      <c r="F123">
        <f t="shared" si="19"/>
        <v>5429</v>
      </c>
      <c r="G123">
        <f t="shared" si="16"/>
        <v>1.1800000356743112E-4</v>
      </c>
      <c r="J123">
        <f>+G123</f>
        <v>1.1800000356743112E-4</v>
      </c>
      <c r="O123">
        <f t="shared" ca="1" si="17"/>
        <v>-7.3626550058701959E-4</v>
      </c>
      <c r="Q123" s="2">
        <f t="shared" si="20"/>
        <v>37502.905599999998</v>
      </c>
    </row>
    <row r="124" spans="1:32" ht="12.75" customHeight="1">
      <c r="A124" s="46" t="s">
        <v>264</v>
      </c>
      <c r="B124" s="47" t="s">
        <v>78</v>
      </c>
      <c r="C124" s="80">
        <v>52525.674700000003</v>
      </c>
      <c r="D124" s="80" t="s">
        <v>106</v>
      </c>
      <c r="E124">
        <f t="shared" si="18"/>
        <v>5431.9991878931496</v>
      </c>
      <c r="F124">
        <f t="shared" si="19"/>
        <v>5432</v>
      </c>
      <c r="G124">
        <f t="shared" si="16"/>
        <v>-1.155999991169665E-3</v>
      </c>
      <c r="I124">
        <f>+G124</f>
        <v>-1.155999991169665E-3</v>
      </c>
      <c r="O124">
        <f t="shared" ca="1" si="17"/>
        <v>-7.2319264353028559E-4</v>
      </c>
      <c r="Q124" s="2">
        <f t="shared" si="20"/>
        <v>37507.174700000003</v>
      </c>
    </row>
    <row r="125" spans="1:32" ht="12.75" customHeight="1">
      <c r="A125" s="46" t="s">
        <v>264</v>
      </c>
      <c r="B125" s="47" t="s">
        <v>78</v>
      </c>
      <c r="C125" s="80">
        <v>52861.614000000001</v>
      </c>
      <c r="D125" s="80" t="s">
        <v>106</v>
      </c>
      <c r="E125">
        <f t="shared" si="18"/>
        <v>5668.0014443699811</v>
      </c>
      <c r="F125">
        <f t="shared" si="19"/>
        <v>5668</v>
      </c>
      <c r="G125">
        <f t="shared" si="16"/>
        <v>2.0560000048135407E-3</v>
      </c>
      <c r="I125">
        <f>+G125</f>
        <v>2.0560000048135407E-3</v>
      </c>
      <c r="O125">
        <f t="shared" ca="1" si="17"/>
        <v>3.0520544493279483E-4</v>
      </c>
      <c r="Q125" s="2">
        <f t="shared" si="20"/>
        <v>37843.114000000001</v>
      </c>
    </row>
    <row r="126" spans="1:32" ht="12.75" customHeight="1">
      <c r="A126" s="46" t="s">
        <v>459</v>
      </c>
      <c r="B126" s="47" t="s">
        <v>78</v>
      </c>
      <c r="C126" s="80">
        <v>53196.125699999997</v>
      </c>
      <c r="D126" s="80" t="s">
        <v>106</v>
      </c>
      <c r="E126">
        <f t="shared" si="18"/>
        <v>5903.000791031418</v>
      </c>
      <c r="F126">
        <f t="shared" si="19"/>
        <v>5903</v>
      </c>
      <c r="G126">
        <f t="shared" si="16"/>
        <v>1.1259999955655076E-3</v>
      </c>
      <c r="K126">
        <f t="shared" ref="K126:K151" si="21">+G126</f>
        <v>1.1259999955655076E-3</v>
      </c>
      <c r="O126">
        <f t="shared" ca="1" si="17"/>
        <v>1.3292459143769628E-3</v>
      </c>
      <c r="Q126" s="2">
        <f t="shared" si="20"/>
        <v>38177.625699999997</v>
      </c>
    </row>
    <row r="127" spans="1:32" ht="12.75" customHeight="1">
      <c r="A127" s="46" t="s">
        <v>463</v>
      </c>
      <c r="B127" s="47" t="s">
        <v>78</v>
      </c>
      <c r="C127" s="80">
        <v>53251.639300000003</v>
      </c>
      <c r="D127" s="80" t="s">
        <v>106</v>
      </c>
      <c r="E127">
        <f t="shared" si="18"/>
        <v>5941.9999044580209</v>
      </c>
      <c r="F127">
        <f t="shared" si="19"/>
        <v>5942</v>
      </c>
      <c r="G127">
        <f t="shared" ref="G127:G151" si="22">+C127-(C$7+F127*C$8)</f>
        <v>-1.359999951091595E-4</v>
      </c>
      <c r="K127">
        <f t="shared" si="21"/>
        <v>-1.359999951091595E-4</v>
      </c>
      <c r="O127">
        <f t="shared" ca="1" si="17"/>
        <v>1.4991930561145048E-3</v>
      </c>
      <c r="Q127" s="2">
        <f t="shared" si="20"/>
        <v>38233.139300000003</v>
      </c>
    </row>
    <row r="128" spans="1:32" ht="12.75" customHeight="1">
      <c r="A128" s="46" t="s">
        <v>463</v>
      </c>
      <c r="B128" s="47" t="s">
        <v>78</v>
      </c>
      <c r="C128" s="80">
        <v>53624.584199999998</v>
      </c>
      <c r="D128" s="80" t="s">
        <v>106</v>
      </c>
      <c r="E128">
        <f t="shared" si="18"/>
        <v>6203.9991345020371</v>
      </c>
      <c r="F128">
        <f t="shared" si="19"/>
        <v>6204</v>
      </c>
      <c r="G128">
        <f t="shared" si="22"/>
        <v>-1.2319999950705096E-3</v>
      </c>
      <c r="K128">
        <f t="shared" si="21"/>
        <v>-1.2319999950705096E-3</v>
      </c>
      <c r="O128">
        <f t="shared" ca="1" si="17"/>
        <v>2.6408892390692787E-3</v>
      </c>
      <c r="Q128" s="2">
        <f t="shared" si="20"/>
        <v>38606.084199999998</v>
      </c>
    </row>
    <row r="129" spans="1:17" ht="12.75" customHeight="1">
      <c r="A129" s="28" t="s">
        <v>82</v>
      </c>
      <c r="B129" s="29" t="s">
        <v>78</v>
      </c>
      <c r="C129" s="85">
        <v>54296.461199999998</v>
      </c>
      <c r="D129" s="85">
        <v>1E-4</v>
      </c>
      <c r="E129">
        <f t="shared" si="18"/>
        <v>6676.0025234323748</v>
      </c>
      <c r="F129">
        <f t="shared" si="19"/>
        <v>6676</v>
      </c>
      <c r="G129">
        <f t="shared" si="22"/>
        <v>3.5920000009355135E-3</v>
      </c>
      <c r="K129">
        <f t="shared" si="21"/>
        <v>3.5920000009355135E-3</v>
      </c>
      <c r="O129">
        <f t="shared" ca="1" si="17"/>
        <v>4.6976854159954361E-3</v>
      </c>
      <c r="Q129" s="2">
        <f t="shared" si="20"/>
        <v>39277.961199999998</v>
      </c>
    </row>
    <row r="130" spans="1:17" ht="12.75" customHeight="1">
      <c r="A130" s="46" t="s">
        <v>463</v>
      </c>
      <c r="B130" s="47" t="s">
        <v>78</v>
      </c>
      <c r="C130" s="80">
        <v>54310.695699999997</v>
      </c>
      <c r="D130" s="80" t="s">
        <v>106</v>
      </c>
      <c r="E130">
        <f t="shared" si="18"/>
        <v>6686.0024672312074</v>
      </c>
      <c r="F130">
        <f t="shared" si="19"/>
        <v>6686</v>
      </c>
      <c r="G130">
        <f t="shared" si="22"/>
        <v>3.5119999956805259E-3</v>
      </c>
      <c r="K130">
        <f t="shared" si="21"/>
        <v>3.5119999956805259E-3</v>
      </c>
      <c r="O130">
        <f t="shared" ca="1" si="17"/>
        <v>4.7412616061845506E-3</v>
      </c>
      <c r="Q130" s="2">
        <f t="shared" si="20"/>
        <v>39292.195699999997</v>
      </c>
    </row>
    <row r="131" spans="1:17" ht="12.75" customHeight="1">
      <c r="A131" s="28" t="s">
        <v>82</v>
      </c>
      <c r="B131" s="29" t="s">
        <v>78</v>
      </c>
      <c r="C131" s="85">
        <v>54363.364800000003</v>
      </c>
      <c r="D131" s="85">
        <v>1E-4</v>
      </c>
      <c r="E131">
        <f t="shared" si="18"/>
        <v>6723.0032779330377</v>
      </c>
      <c r="F131">
        <f t="shared" si="19"/>
        <v>6723</v>
      </c>
      <c r="G131">
        <f t="shared" si="22"/>
        <v>4.6660000080009922E-3</v>
      </c>
      <c r="K131">
        <f t="shared" si="21"/>
        <v>4.6660000080009922E-3</v>
      </c>
      <c r="O131">
        <f t="shared" ca="1" si="17"/>
        <v>4.9024935098842676E-3</v>
      </c>
      <c r="Q131" s="2">
        <f t="shared" si="20"/>
        <v>39344.864800000003</v>
      </c>
    </row>
    <row r="132" spans="1:17" ht="12.75" customHeight="1">
      <c r="A132" s="28" t="s">
        <v>82</v>
      </c>
      <c r="B132" s="29" t="s">
        <v>78</v>
      </c>
      <c r="C132" s="85">
        <v>54373.328200000004</v>
      </c>
      <c r="D132" s="85">
        <v>1E-4</v>
      </c>
      <c r="E132">
        <f t="shared" si="18"/>
        <v>6730.0027117062864</v>
      </c>
      <c r="F132">
        <f t="shared" si="19"/>
        <v>6730</v>
      </c>
      <c r="G132">
        <f t="shared" si="22"/>
        <v>3.8600000043516047E-3</v>
      </c>
      <c r="K132">
        <f t="shared" si="21"/>
        <v>3.8600000043516047E-3</v>
      </c>
      <c r="O132">
        <f t="shared" ca="1" si="17"/>
        <v>4.9329968430166481E-3</v>
      </c>
      <c r="Q132" s="2">
        <f t="shared" si="20"/>
        <v>39354.828200000004</v>
      </c>
    </row>
    <row r="133" spans="1:17" ht="12.75" customHeight="1">
      <c r="A133" s="31" t="s">
        <v>90</v>
      </c>
      <c r="B133" s="32" t="s">
        <v>78</v>
      </c>
      <c r="C133" s="84">
        <v>54384.716800000002</v>
      </c>
      <c r="D133" s="84">
        <v>4.0000000000000002E-4</v>
      </c>
      <c r="E133">
        <f t="shared" si="18"/>
        <v>6738.0033692599327</v>
      </c>
      <c r="F133">
        <f t="shared" si="19"/>
        <v>6738</v>
      </c>
      <c r="G133">
        <f t="shared" si="22"/>
        <v>4.7960000010789372E-3</v>
      </c>
      <c r="K133">
        <f t="shared" si="21"/>
        <v>4.7960000010789372E-3</v>
      </c>
      <c r="O133">
        <f t="shared" ca="1" si="17"/>
        <v>4.9678577951679376E-3</v>
      </c>
      <c r="Q133" s="2">
        <f t="shared" si="20"/>
        <v>39366.216800000002</v>
      </c>
    </row>
    <row r="134" spans="1:17" ht="12.75" customHeight="1">
      <c r="A134" s="31" t="s">
        <v>93</v>
      </c>
      <c r="B134" s="32" t="s">
        <v>78</v>
      </c>
      <c r="C134" s="84">
        <v>54680.797299999998</v>
      </c>
      <c r="D134" s="84">
        <v>4.0000000000000002E-4</v>
      </c>
      <c r="E134">
        <f t="shared" si="18"/>
        <v>6946.0042375679523</v>
      </c>
      <c r="F134">
        <f t="shared" si="19"/>
        <v>6946</v>
      </c>
      <c r="G134">
        <f t="shared" si="22"/>
        <v>6.0319999975035898E-3</v>
      </c>
      <c r="K134">
        <f t="shared" si="21"/>
        <v>6.0319999975035898E-3</v>
      </c>
      <c r="O134">
        <f t="shared" ca="1" si="17"/>
        <v>5.8742425511014995E-3</v>
      </c>
      <c r="Q134" s="2">
        <f t="shared" si="20"/>
        <v>39662.297299999998</v>
      </c>
    </row>
    <row r="135" spans="1:17" ht="12.75" customHeight="1">
      <c r="A135" s="28" t="s">
        <v>82</v>
      </c>
      <c r="B135" s="29" t="s">
        <v>78</v>
      </c>
      <c r="C135" s="85">
        <v>54716.380400000002</v>
      </c>
      <c r="D135" s="85">
        <v>4.0000000000000002E-4</v>
      </c>
      <c r="E135">
        <f t="shared" si="18"/>
        <v>6971.0018841441088</v>
      </c>
      <c r="F135">
        <f t="shared" si="19"/>
        <v>6971</v>
      </c>
      <c r="G135">
        <f t="shared" si="22"/>
        <v>2.6820000057341531E-3</v>
      </c>
      <c r="K135">
        <f t="shared" si="21"/>
        <v>2.6820000057341531E-3</v>
      </c>
      <c r="O135">
        <f t="shared" ca="1" si="17"/>
        <v>5.983183026574284E-3</v>
      </c>
      <c r="Q135" s="2">
        <f t="shared" si="20"/>
        <v>39697.880400000002</v>
      </c>
    </row>
    <row r="136" spans="1:17" ht="12.75" customHeight="1">
      <c r="A136" s="31" t="s">
        <v>91</v>
      </c>
      <c r="B136" s="32" t="s">
        <v>78</v>
      </c>
      <c r="C136" s="84">
        <v>55043.782500000001</v>
      </c>
      <c r="D136" s="84">
        <v>2.0000000000000001E-4</v>
      </c>
      <c r="E136">
        <f t="shared" si="18"/>
        <v>7201.0066331426742</v>
      </c>
      <c r="F136">
        <f t="shared" si="19"/>
        <v>7201</v>
      </c>
      <c r="G136">
        <f t="shared" si="22"/>
        <v>9.4420000023092143E-3</v>
      </c>
      <c r="K136">
        <f t="shared" si="21"/>
        <v>9.4420000023092143E-3</v>
      </c>
      <c r="O136">
        <f t="shared" ca="1" si="17"/>
        <v>6.985435400923893E-3</v>
      </c>
      <c r="Q136" s="2">
        <f t="shared" si="20"/>
        <v>40025.282500000001</v>
      </c>
    </row>
    <row r="137" spans="1:17" ht="12.75" customHeight="1">
      <c r="A137" s="46" t="s">
        <v>503</v>
      </c>
      <c r="B137" s="47" t="s">
        <v>78</v>
      </c>
      <c r="C137" s="80">
        <v>55775.442600000002</v>
      </c>
      <c r="D137" s="80" t="s">
        <v>106</v>
      </c>
      <c r="E137">
        <f t="shared" si="18"/>
        <v>7715.008521501868</v>
      </c>
      <c r="F137">
        <f t="shared" si="19"/>
        <v>7715</v>
      </c>
      <c r="G137">
        <f t="shared" si="22"/>
        <v>1.2130000002798624E-2</v>
      </c>
      <c r="K137">
        <f t="shared" si="21"/>
        <v>1.2130000002798624E-2</v>
      </c>
      <c r="O137">
        <f t="shared" ca="1" si="17"/>
        <v>9.2252515766443298E-3</v>
      </c>
      <c r="Q137" s="2">
        <f t="shared" si="20"/>
        <v>40756.942600000002</v>
      </c>
    </row>
    <row r="138" spans="1:17" ht="12.75" customHeight="1">
      <c r="A138" s="49" t="s">
        <v>94</v>
      </c>
      <c r="B138" s="50" t="s">
        <v>78</v>
      </c>
      <c r="C138" s="86">
        <v>55836.6486</v>
      </c>
      <c r="D138" s="86">
        <v>2.0000000000000001E-4</v>
      </c>
      <c r="E138">
        <f t="shared" si="18"/>
        <v>7758.0066289275865</v>
      </c>
      <c r="F138">
        <f t="shared" si="19"/>
        <v>7758</v>
      </c>
      <c r="G138">
        <f t="shared" si="22"/>
        <v>9.4360000075539574E-3</v>
      </c>
      <c r="K138">
        <f t="shared" si="21"/>
        <v>9.4360000075539574E-3</v>
      </c>
      <c r="O138">
        <f t="shared" ca="1" si="17"/>
        <v>9.4126291944575148E-3</v>
      </c>
      <c r="Q138" s="2">
        <f t="shared" si="20"/>
        <v>40818.1486</v>
      </c>
    </row>
    <row r="139" spans="1:17" ht="12.75" customHeight="1">
      <c r="A139" s="49" t="s">
        <v>92</v>
      </c>
      <c r="B139" s="50" t="s">
        <v>78</v>
      </c>
      <c r="C139" s="86">
        <v>55836.6486</v>
      </c>
      <c r="D139" s="86">
        <v>2.0000000000000001E-4</v>
      </c>
      <c r="E139">
        <f t="shared" si="18"/>
        <v>7758.0066289275865</v>
      </c>
      <c r="F139">
        <f t="shared" si="19"/>
        <v>7758</v>
      </c>
      <c r="G139">
        <f t="shared" si="22"/>
        <v>9.4360000075539574E-3</v>
      </c>
      <c r="K139">
        <f t="shared" si="21"/>
        <v>9.4360000075539574E-3</v>
      </c>
      <c r="O139">
        <f t="shared" ca="1" si="17"/>
        <v>9.4126291944575148E-3</v>
      </c>
      <c r="Q139" s="2">
        <f t="shared" si="20"/>
        <v>40818.1486</v>
      </c>
    </row>
    <row r="140" spans="1:17" ht="12.75" customHeight="1">
      <c r="A140" s="49" t="s">
        <v>95</v>
      </c>
      <c r="B140" s="50" t="s">
        <v>78</v>
      </c>
      <c r="C140" s="86">
        <v>56552.650900000001</v>
      </c>
      <c r="D140" s="86">
        <v>2.9999999999999997E-4</v>
      </c>
      <c r="E140">
        <f t="shared" si="18"/>
        <v>8261.0086844852485</v>
      </c>
      <c r="F140">
        <f t="shared" si="19"/>
        <v>8261</v>
      </c>
      <c r="G140">
        <f t="shared" si="22"/>
        <v>1.2362000001303386E-2</v>
      </c>
      <c r="K140">
        <f t="shared" si="21"/>
        <v>1.2362000001303386E-2</v>
      </c>
      <c r="O140">
        <f t="shared" ca="1" si="17"/>
        <v>1.1604511560969925E-2</v>
      </c>
      <c r="Q140" s="2">
        <f t="shared" si="20"/>
        <v>41534.150900000001</v>
      </c>
    </row>
    <row r="141" spans="1:17" ht="12.75" customHeight="1">
      <c r="A141" s="53" t="s">
        <v>514</v>
      </c>
      <c r="B141" s="54" t="s">
        <v>78</v>
      </c>
      <c r="C141" s="53">
        <v>57258.688199999997</v>
      </c>
      <c r="D141" s="53">
        <v>1E-4</v>
      </c>
      <c r="E141">
        <f t="shared" si="18"/>
        <v>8757.010182246333</v>
      </c>
      <c r="F141">
        <f t="shared" si="19"/>
        <v>8757</v>
      </c>
      <c r="G141">
        <f t="shared" si="22"/>
        <v>1.4494000002741814E-2</v>
      </c>
      <c r="K141">
        <f t="shared" si="21"/>
        <v>1.4494000002741814E-2</v>
      </c>
      <c r="O141">
        <f t="shared" ca="1" si="17"/>
        <v>1.3765890594349958E-2</v>
      </c>
      <c r="Q141" s="2">
        <f t="shared" si="20"/>
        <v>42240.188199999997</v>
      </c>
    </row>
    <row r="142" spans="1:17" ht="12.75" customHeight="1">
      <c r="A142" s="53" t="s">
        <v>515</v>
      </c>
      <c r="B142" s="54" t="s">
        <v>78</v>
      </c>
      <c r="C142" s="53">
        <v>57611.708400000003</v>
      </c>
      <c r="D142" s="53">
        <v>1E-4</v>
      </c>
      <c r="E142">
        <f t="shared" si="18"/>
        <v>9005.0120200244801</v>
      </c>
      <c r="F142">
        <f t="shared" si="19"/>
        <v>9005</v>
      </c>
      <c r="G142">
        <f t="shared" si="22"/>
        <v>1.711000000796048E-2</v>
      </c>
      <c r="K142">
        <f t="shared" si="21"/>
        <v>1.711000000796048E-2</v>
      </c>
      <c r="O142">
        <f t="shared" ca="1" si="17"/>
        <v>1.484658011103997E-2</v>
      </c>
      <c r="Q142" s="2">
        <f t="shared" si="20"/>
        <v>42593.208400000003</v>
      </c>
    </row>
    <row r="143" spans="1:17" ht="12.75" customHeight="1">
      <c r="A143" s="55" t="s">
        <v>516</v>
      </c>
      <c r="B143" s="56" t="s">
        <v>78</v>
      </c>
      <c r="C143" s="55">
        <v>57974.691099999996</v>
      </c>
      <c r="D143" s="55">
        <v>1E-4</v>
      </c>
      <c r="E143">
        <f t="shared" si="18"/>
        <v>9260.0126593127443</v>
      </c>
      <c r="F143">
        <f t="shared" si="19"/>
        <v>9260</v>
      </c>
      <c r="G143">
        <f t="shared" si="22"/>
        <v>1.802000000316184E-2</v>
      </c>
      <c r="K143">
        <f t="shared" si="21"/>
        <v>1.802000000316184E-2</v>
      </c>
      <c r="O143">
        <f t="shared" ca="1" si="17"/>
        <v>1.5957772960862367E-2</v>
      </c>
      <c r="Q143" s="2">
        <f t="shared" si="20"/>
        <v>42956.191099999996</v>
      </c>
    </row>
    <row r="144" spans="1:17" ht="12.75" customHeight="1">
      <c r="A144" s="57" t="s">
        <v>517</v>
      </c>
      <c r="B144" s="58" t="s">
        <v>78</v>
      </c>
      <c r="C144" s="87">
        <v>58323.437599999997</v>
      </c>
      <c r="D144" s="87">
        <v>2.0000000000000001E-4</v>
      </c>
      <c r="E144">
        <f t="shared" si="18"/>
        <v>9505.0121605273926</v>
      </c>
      <c r="F144">
        <f t="shared" si="19"/>
        <v>9505</v>
      </c>
      <c r="G144">
        <f t="shared" si="22"/>
        <v>1.7310000002908055E-2</v>
      </c>
      <c r="K144">
        <f t="shared" si="21"/>
        <v>1.7310000002908055E-2</v>
      </c>
      <c r="O144">
        <f t="shared" ca="1" si="17"/>
        <v>1.7025389620495646E-2</v>
      </c>
      <c r="Q144" s="2">
        <f t="shared" si="20"/>
        <v>43304.937599999997</v>
      </c>
    </row>
    <row r="145" spans="1:22" ht="12.75" customHeight="1">
      <c r="A145" s="51" t="s">
        <v>0</v>
      </c>
      <c r="B145" s="52" t="s">
        <v>78</v>
      </c>
      <c r="C145" s="55">
        <v>58401.7264</v>
      </c>
      <c r="D145" s="55">
        <v>2.9999999999999997E-4</v>
      </c>
      <c r="E145">
        <f t="shared" si="18"/>
        <v>9560.011184032126</v>
      </c>
      <c r="F145">
        <f t="shared" si="19"/>
        <v>9560</v>
      </c>
      <c r="G145">
        <f t="shared" si="22"/>
        <v>1.5920000005280599E-2</v>
      </c>
      <c r="K145">
        <f t="shared" si="21"/>
        <v>1.5920000005280599E-2</v>
      </c>
      <c r="O145">
        <f t="shared" ca="1" si="17"/>
        <v>1.7265058666535767E-2</v>
      </c>
      <c r="Q145" s="2">
        <f t="shared" si="20"/>
        <v>43383.2264</v>
      </c>
    </row>
    <row r="146" spans="1:22" ht="12.75" customHeight="1">
      <c r="A146" s="59" t="s">
        <v>518</v>
      </c>
      <c r="B146" s="60" t="s">
        <v>78</v>
      </c>
      <c r="C146" s="88">
        <v>58697.810100000002</v>
      </c>
      <c r="D146" s="88">
        <v>1E-4</v>
      </c>
      <c r="E146">
        <f t="shared" si="18"/>
        <v>9768.0143003868088</v>
      </c>
      <c r="F146">
        <f t="shared" si="19"/>
        <v>9768</v>
      </c>
      <c r="G146">
        <f t="shared" si="22"/>
        <v>2.0356000008177944E-2</v>
      </c>
      <c r="K146">
        <f t="shared" si="21"/>
        <v>2.0356000008177944E-2</v>
      </c>
      <c r="O146">
        <f t="shared" ca="1" si="17"/>
        <v>1.8171443422469329E-2</v>
      </c>
      <c r="Q146" s="2">
        <f t="shared" si="20"/>
        <v>43679.310100000002</v>
      </c>
    </row>
    <row r="147" spans="1:22" ht="12.75" customHeight="1">
      <c r="A147" s="59" t="s">
        <v>518</v>
      </c>
      <c r="B147" s="60" t="s">
        <v>78</v>
      </c>
      <c r="C147" s="88">
        <v>58723.432000000001</v>
      </c>
      <c r="D147" s="88">
        <v>1E-4</v>
      </c>
      <c r="E147">
        <f t="shared" si="18"/>
        <v>9786.014058721792</v>
      </c>
      <c r="F147">
        <f t="shared" si="19"/>
        <v>9786</v>
      </c>
      <c r="G147">
        <f t="shared" si="22"/>
        <v>2.0012000008136965E-2</v>
      </c>
      <c r="K147">
        <f t="shared" si="21"/>
        <v>2.0012000008136965E-2</v>
      </c>
      <c r="O147">
        <f t="shared" ca="1" si="17"/>
        <v>1.8249880564809733E-2</v>
      </c>
      <c r="Q147" s="2">
        <f t="shared" si="20"/>
        <v>43704.932000000001</v>
      </c>
    </row>
    <row r="148" spans="1:22" ht="12.75" customHeight="1">
      <c r="A148" s="61" t="s">
        <v>519</v>
      </c>
      <c r="B148" s="58" t="s">
        <v>78</v>
      </c>
      <c r="C148" s="87">
        <v>59076.450299999997</v>
      </c>
      <c r="D148" s="87">
        <v>2.9999999999999997E-4</v>
      </c>
      <c r="E148">
        <f t="shared" si="18"/>
        <v>10034.01456172223</v>
      </c>
      <c r="F148">
        <f t="shared" si="19"/>
        <v>10034</v>
      </c>
      <c r="G148">
        <f t="shared" si="22"/>
        <v>2.0728000003146008E-2</v>
      </c>
      <c r="K148">
        <f t="shared" si="21"/>
        <v>2.0728000003146008E-2</v>
      </c>
      <c r="O148">
        <f t="shared" ca="1" si="17"/>
        <v>1.9330570081499753E-2</v>
      </c>
      <c r="Q148" s="2">
        <f t="shared" si="20"/>
        <v>44057.950299999997</v>
      </c>
    </row>
    <row r="149" spans="1:22" ht="12.75" customHeight="1">
      <c r="A149" s="64" t="s">
        <v>521</v>
      </c>
      <c r="B149" s="63" t="s">
        <v>78</v>
      </c>
      <c r="C149" s="79">
        <v>59168.974899999797</v>
      </c>
      <c r="D149" s="62">
        <v>1.66E-3</v>
      </c>
      <c r="E149">
        <f t="shared" si="18"/>
        <v>10099.01444229461</v>
      </c>
      <c r="F149">
        <f t="shared" ref="F149:F151" si="23">ROUND(2*E149,0)/2</f>
        <v>10099</v>
      </c>
      <c r="G149">
        <f t="shared" si="22"/>
        <v>2.0557999800075777E-2</v>
      </c>
      <c r="K149">
        <f t="shared" si="21"/>
        <v>2.0557999800075777E-2</v>
      </c>
      <c r="O149">
        <f t="shared" ca="1" si="17"/>
        <v>1.9613815317728985E-2</v>
      </c>
      <c r="Q149" s="2">
        <f t="shared" si="20"/>
        <v>44150.474899999797</v>
      </c>
    </row>
    <row r="150" spans="1:22" ht="12.75" customHeight="1">
      <c r="A150" s="61" t="s">
        <v>520</v>
      </c>
      <c r="B150" s="58" t="s">
        <v>78</v>
      </c>
      <c r="C150" s="87">
        <v>59413.808499999999</v>
      </c>
      <c r="D150" s="87">
        <v>2.9999999999999997E-4</v>
      </c>
      <c r="E150">
        <f t="shared" si="18"/>
        <v>10271.013616137605</v>
      </c>
      <c r="F150">
        <f t="shared" si="23"/>
        <v>10271</v>
      </c>
      <c r="G150">
        <f t="shared" si="22"/>
        <v>1.9381999998586252E-2</v>
      </c>
      <c r="K150">
        <f t="shared" si="21"/>
        <v>1.9381999998586252E-2</v>
      </c>
      <c r="O150">
        <f t="shared" ca="1" si="17"/>
        <v>2.0363325788981739E-2</v>
      </c>
      <c r="Q150" s="2">
        <f t="shared" si="20"/>
        <v>44395.308499999999</v>
      </c>
    </row>
    <row r="151" spans="1:22" ht="12.75" customHeight="1">
      <c r="A151" s="62" t="s">
        <v>522</v>
      </c>
      <c r="B151" s="63" t="s">
        <v>78</v>
      </c>
      <c r="C151" s="79">
        <v>59476.441400000003</v>
      </c>
      <c r="D151" s="62">
        <v>2.9999999999999997E-4</v>
      </c>
      <c r="E151">
        <f t="shared" si="18"/>
        <v>10315.014141618514</v>
      </c>
      <c r="F151">
        <f t="shared" si="23"/>
        <v>10315</v>
      </c>
      <c r="G151">
        <f t="shared" si="22"/>
        <v>2.0130000004428439E-2</v>
      </c>
      <c r="K151">
        <f t="shared" si="21"/>
        <v>2.0130000004428439E-2</v>
      </c>
      <c r="O151">
        <f t="shared" ca="1" si="17"/>
        <v>2.055506102581384E-2</v>
      </c>
      <c r="Q151" s="2">
        <f t="shared" si="20"/>
        <v>44457.941400000003</v>
      </c>
    </row>
    <row r="152" spans="1:22" ht="12.75" customHeight="1">
      <c r="A152" s="65" t="s">
        <v>523</v>
      </c>
      <c r="B152" s="66" t="s">
        <v>78</v>
      </c>
      <c r="C152" s="89">
        <v>59771.097836980131</v>
      </c>
      <c r="D152" s="89">
        <v>1.6379999999999999E-3</v>
      </c>
      <c r="E152">
        <f t="shared" ref="E152:E154" si="24">+(C152-C$7)/C$8</f>
        <v>10522.014584891254</v>
      </c>
      <c r="F152">
        <f t="shared" ref="F152:F154" si="25">ROUND(2*E152,0)/2</f>
        <v>10522</v>
      </c>
      <c r="G152">
        <f t="shared" ref="G152:G154" si="26">+C152-(C$7+F152*C$8)</f>
        <v>2.0760980136401486E-2</v>
      </c>
      <c r="L152">
        <f>+G152</f>
        <v>2.0760980136401486E-2</v>
      </c>
      <c r="O152">
        <f t="shared" ref="O152:O154" ca="1" si="27">+C$11+C$12*$F152</f>
        <v>2.1457088162728486E-2</v>
      </c>
      <c r="Q152" s="2">
        <f t="shared" ref="Q152:Q154" si="28">+C152-15018.5</f>
        <v>44752.597836980131</v>
      </c>
      <c r="V152" s="69" t="s">
        <v>526</v>
      </c>
    </row>
    <row r="153" spans="1:22" ht="12.75" customHeight="1">
      <c r="A153" s="65" t="s">
        <v>523</v>
      </c>
      <c r="B153" s="66" t="s">
        <v>78</v>
      </c>
      <c r="C153" s="89">
        <v>59781.06056664139</v>
      </c>
      <c r="D153" s="89">
        <v>2.6459999999999999E-3</v>
      </c>
      <c r="E153">
        <f t="shared" si="24"/>
        <v>10529.013547741763</v>
      </c>
      <c r="F153">
        <f t="shared" si="25"/>
        <v>10529</v>
      </c>
      <c r="G153">
        <f t="shared" si="26"/>
        <v>1.9284641392005142E-2</v>
      </c>
      <c r="L153">
        <f>+G153</f>
        <v>1.9284641392005142E-2</v>
      </c>
      <c r="O153">
        <f t="shared" ca="1" si="27"/>
        <v>2.148759149586087E-2</v>
      </c>
      <c r="Q153" s="2">
        <f t="shared" si="28"/>
        <v>44762.56056664139</v>
      </c>
      <c r="V153" s="69" t="s">
        <v>526</v>
      </c>
    </row>
    <row r="154" spans="1:22" ht="12.75" customHeight="1">
      <c r="A154" s="65" t="s">
        <v>523</v>
      </c>
      <c r="B154" s="66" t="s">
        <v>78</v>
      </c>
      <c r="C154" s="89">
        <v>59795.296246140264</v>
      </c>
      <c r="D154" s="89">
        <v>1.5889999999999999E-3</v>
      </c>
      <c r="E154">
        <f t="shared" si="24"/>
        <v>10539.014320155753</v>
      </c>
      <c r="F154">
        <f t="shared" si="25"/>
        <v>10539</v>
      </c>
      <c r="G154">
        <f t="shared" si="26"/>
        <v>2.0384140269015916E-2</v>
      </c>
      <c r="L154">
        <f>+G154</f>
        <v>2.0384140269015916E-2</v>
      </c>
      <c r="O154">
        <f t="shared" ca="1" si="27"/>
        <v>2.1531167686049981E-2</v>
      </c>
      <c r="Q154" s="2">
        <f t="shared" si="28"/>
        <v>44776.796246140264</v>
      </c>
      <c r="V154" s="69" t="s">
        <v>526</v>
      </c>
    </row>
    <row r="155" spans="1:22" ht="12.75" customHeight="1">
      <c r="A155" s="67" t="s">
        <v>525</v>
      </c>
      <c r="B155" s="68" t="s">
        <v>78</v>
      </c>
      <c r="C155" s="79">
        <v>59796.719799999999</v>
      </c>
      <c r="D155" s="62">
        <v>1E-4</v>
      </c>
      <c r="E155">
        <f t="shared" ref="E155:E157" si="29">+(C155-C$7)/C$8</f>
        <v>10540.014387498615</v>
      </c>
      <c r="F155">
        <f t="shared" ref="F155:F157" si="30">ROUND(2*E155,0)/2</f>
        <v>10540</v>
      </c>
      <c r="G155">
        <f t="shared" ref="G155:G157" si="31">+C155-(C$7+F155*C$8)</f>
        <v>2.0479999999224674E-2</v>
      </c>
      <c r="K155">
        <f>+G155</f>
        <v>2.0479999999224674E-2</v>
      </c>
      <c r="O155">
        <f t="shared" ref="O155:O157" ca="1" si="32">+C$11+C$12*$F155</f>
        <v>2.153552530506889E-2</v>
      </c>
      <c r="Q155" s="2">
        <f t="shared" ref="Q155:Q157" si="33">+C155-15018.5</f>
        <v>44778.219799999999</v>
      </c>
    </row>
    <row r="156" spans="1:22" ht="12.75" customHeight="1">
      <c r="A156" s="67" t="s">
        <v>525</v>
      </c>
      <c r="B156" s="68" t="s">
        <v>78</v>
      </c>
      <c r="C156" s="79">
        <v>59826.613899999997</v>
      </c>
      <c r="D156" s="62">
        <v>5.9999999999999995E-4</v>
      </c>
      <c r="E156">
        <f t="shared" si="29"/>
        <v>10561.015428625222</v>
      </c>
      <c r="F156">
        <f t="shared" si="30"/>
        <v>10561</v>
      </c>
      <c r="G156">
        <f t="shared" si="31"/>
        <v>2.1961999998893589E-2</v>
      </c>
      <c r="K156">
        <f>+G156</f>
        <v>2.1961999998893589E-2</v>
      </c>
      <c r="O156">
        <f t="shared" ca="1" si="32"/>
        <v>2.1627035304466035E-2</v>
      </c>
      <c r="Q156" s="2">
        <f t="shared" si="33"/>
        <v>44808.113899999997</v>
      </c>
    </row>
    <row r="157" spans="1:22" ht="12.75" customHeight="1">
      <c r="A157" s="67" t="s">
        <v>525</v>
      </c>
      <c r="B157" s="68" t="s">
        <v>78</v>
      </c>
      <c r="C157" s="79">
        <v>59849.389000000003</v>
      </c>
      <c r="D157" s="62">
        <v>2.0000000000000001E-4</v>
      </c>
      <c r="E157">
        <f t="shared" si="29"/>
        <v>10577.015268451902</v>
      </c>
      <c r="F157">
        <f t="shared" si="30"/>
        <v>10577</v>
      </c>
      <c r="G157">
        <f t="shared" si="31"/>
        <v>2.1734000009018928E-2</v>
      </c>
      <c r="K157">
        <f>+G157</f>
        <v>2.1734000009018928E-2</v>
      </c>
      <c r="O157">
        <f t="shared" ca="1" si="32"/>
        <v>2.1696757208768614E-2</v>
      </c>
      <c r="Q157" s="2">
        <f t="shared" si="33"/>
        <v>44830.889000000003</v>
      </c>
    </row>
    <row r="158" spans="1:22" ht="12.75" customHeight="1">
      <c r="A158" s="67" t="s">
        <v>532</v>
      </c>
      <c r="B158" s="90" t="s">
        <v>78</v>
      </c>
      <c r="C158" s="91">
        <v>60192.441400000003</v>
      </c>
      <c r="D158" s="91">
        <v>1E-4</v>
      </c>
      <c r="E158">
        <f t="shared" ref="E158" si="34">+(C158-C$7)/C$8</f>
        <v>10818.014581392641</v>
      </c>
      <c r="F158">
        <f t="shared" ref="F158" si="35">ROUND(2*E158,0)/2</f>
        <v>10818</v>
      </c>
      <c r="G158">
        <f t="shared" ref="G158" si="36">+C158-(C$7+F158*C$8)</f>
        <v>2.0756000005349051E-2</v>
      </c>
      <c r="K158">
        <f>+G158</f>
        <v>2.0756000005349051E-2</v>
      </c>
      <c r="O158">
        <f t="shared" ref="O158" ca="1" si="37">+C$11+C$12*$F158</f>
        <v>2.274694339232625E-2</v>
      </c>
      <c r="Q158" s="2">
        <f t="shared" ref="Q158" si="38">+C158-15018.5</f>
        <v>45173.941400000003</v>
      </c>
    </row>
    <row r="159" spans="1:22" ht="12.75" customHeight="1">
      <c r="B159" s="15"/>
      <c r="C159" s="82"/>
      <c r="D159" s="82"/>
    </row>
    <row r="160" spans="1:22" ht="12.75" customHeight="1">
      <c r="B160" s="15"/>
      <c r="C160" s="82"/>
      <c r="D160" s="82"/>
    </row>
    <row r="161" spans="2:4" ht="12.75" customHeight="1">
      <c r="B161" s="15"/>
      <c r="C161" s="10"/>
      <c r="D161" s="10"/>
    </row>
    <row r="162" spans="2:4" ht="12.75" customHeight="1">
      <c r="C162" s="10"/>
      <c r="D162" s="10"/>
    </row>
    <row r="163" spans="2:4" ht="12.75" customHeight="1">
      <c r="C163" s="10"/>
      <c r="D163" s="10"/>
    </row>
    <row r="164" spans="2:4" ht="12.75" customHeight="1">
      <c r="C164" s="10"/>
      <c r="D164" s="10"/>
    </row>
    <row r="165" spans="2:4" ht="12.75" customHeight="1">
      <c r="C165" s="10"/>
      <c r="D165" s="10"/>
    </row>
    <row r="166" spans="2:4" ht="12.75" customHeight="1">
      <c r="C166" s="10"/>
      <c r="D166" s="10"/>
    </row>
    <row r="167" spans="2:4" ht="12.75" customHeight="1">
      <c r="C167" s="10"/>
      <c r="D167" s="10"/>
    </row>
    <row r="168" spans="2:4" ht="12.75" customHeight="1">
      <c r="C168" s="10"/>
      <c r="D168" s="10"/>
    </row>
    <row r="169" spans="2:4" ht="12.75" customHeight="1">
      <c r="C169" s="10"/>
      <c r="D169" s="10"/>
    </row>
    <row r="170" spans="2:4" ht="12.75" customHeight="1">
      <c r="C170" s="10"/>
      <c r="D170" s="10"/>
    </row>
    <row r="171" spans="2:4" ht="12.75" customHeight="1">
      <c r="C171" s="10"/>
      <c r="D171" s="10"/>
    </row>
    <row r="172" spans="2:4" ht="12.75" customHeight="1">
      <c r="C172" s="10"/>
      <c r="D172" s="10"/>
    </row>
    <row r="173" spans="2:4" ht="12.75" customHeight="1">
      <c r="C173" s="10"/>
      <c r="D173" s="10"/>
    </row>
    <row r="174" spans="2:4" ht="12.75" customHeight="1">
      <c r="C174" s="10"/>
      <c r="D174" s="10"/>
    </row>
    <row r="175" spans="2:4" ht="12.75" customHeight="1">
      <c r="C175" s="10"/>
      <c r="D175" s="10"/>
    </row>
    <row r="176" spans="2:4" ht="12.75" customHeight="1">
      <c r="C176" s="10"/>
      <c r="D176" s="10"/>
    </row>
    <row r="177" spans="3:4" ht="12.75" customHeight="1">
      <c r="C177" s="10"/>
      <c r="D177" s="10"/>
    </row>
    <row r="178" spans="3:4" ht="12.75" customHeight="1">
      <c r="C178" s="10"/>
      <c r="D178" s="10"/>
    </row>
    <row r="179" spans="3:4" ht="12.75" customHeight="1">
      <c r="C179" s="10"/>
      <c r="D179" s="10"/>
    </row>
    <row r="180" spans="3:4" ht="12.75" customHeight="1">
      <c r="C180" s="10"/>
      <c r="D180" s="10"/>
    </row>
    <row r="181" spans="3:4" ht="12.75" customHeight="1">
      <c r="C181" s="10"/>
      <c r="D181" s="10"/>
    </row>
    <row r="182" spans="3:4" ht="12.75" customHeight="1">
      <c r="C182" s="10"/>
      <c r="D182" s="10"/>
    </row>
    <row r="183" spans="3:4" ht="12.75" customHeight="1">
      <c r="C183" s="10"/>
      <c r="D183" s="10"/>
    </row>
    <row r="184" spans="3:4" ht="12.75" customHeight="1">
      <c r="C184" s="10"/>
      <c r="D184" s="10"/>
    </row>
    <row r="185" spans="3:4" ht="12.75" customHeight="1">
      <c r="C185" s="10"/>
      <c r="D185" s="10"/>
    </row>
    <row r="186" spans="3:4" ht="12.75" customHeight="1">
      <c r="C186" s="10"/>
      <c r="D186" s="10"/>
    </row>
    <row r="187" spans="3:4" ht="12.75" customHeight="1">
      <c r="C187" s="10"/>
      <c r="D187" s="10"/>
    </row>
    <row r="188" spans="3:4" ht="12.75" customHeight="1">
      <c r="C188" s="10"/>
      <c r="D188" s="10"/>
    </row>
    <row r="189" spans="3:4" ht="12.75" customHeight="1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</sheetData>
  <protectedRanges>
    <protectedRange sqref="A145:D146" name="Range1"/>
  </protectedRanges>
  <sortState xmlns:xlrd2="http://schemas.microsoft.com/office/spreadsheetml/2017/richdata2" ref="A21:V151">
    <sortCondition ref="C21:C151"/>
  </sortState>
  <phoneticPr fontId="8" type="noConversion"/>
  <hyperlinks>
    <hyperlink ref="H64889" r:id="rId1" display="http://vsolj.cetus-net.org/bulletin.html" xr:uid="{00000000-0004-0000-0000-000000000000}"/>
    <hyperlink ref="H64882" r:id="rId2" display="https://www.aavso.org/ejaavso" xr:uid="{00000000-0004-0000-0000-000001000000}"/>
    <hyperlink ref="I64889" r:id="rId3" display="http://vsolj.cetus-net.org/bulletin.html" xr:uid="{00000000-0004-0000-0000-000002000000}"/>
    <hyperlink ref="AQ58540" r:id="rId4" display="http://cdsbib.u-strasbg.fr/cgi-bin/cdsbib?1990RMxAA..21..381G" xr:uid="{00000000-0004-0000-0000-000003000000}"/>
    <hyperlink ref="H64886" r:id="rId5" display="https://www.aavso.org/ejaavso" xr:uid="{00000000-0004-0000-0000-000004000000}"/>
    <hyperlink ref="AP5904" r:id="rId6" display="http://cdsbib.u-strasbg.fr/cgi-bin/cdsbib?1990RMxAA..21..381G" xr:uid="{00000000-0004-0000-0000-000005000000}"/>
    <hyperlink ref="AP5907" r:id="rId7" display="http://cdsbib.u-strasbg.fr/cgi-bin/cdsbib?1990RMxAA..21..381G" xr:uid="{00000000-0004-0000-0000-000006000000}"/>
    <hyperlink ref="AP5905" r:id="rId8" display="http://cdsbib.u-strasbg.fr/cgi-bin/cdsbib?1990RMxAA..21..381G" xr:uid="{00000000-0004-0000-0000-000007000000}"/>
    <hyperlink ref="AP5889" r:id="rId9" display="http://cdsbib.u-strasbg.fr/cgi-bin/cdsbib?1990RMxAA..21..381G" xr:uid="{00000000-0004-0000-0000-000008000000}"/>
    <hyperlink ref="AQ6118" r:id="rId10" display="http://cdsbib.u-strasbg.fr/cgi-bin/cdsbib?1990RMxAA..21..381G" xr:uid="{00000000-0004-0000-0000-000009000000}"/>
    <hyperlink ref="AQ6122" r:id="rId11" display="http://cdsbib.u-strasbg.fr/cgi-bin/cdsbib?1990RMxAA..21..381G" xr:uid="{00000000-0004-0000-0000-00000A000000}"/>
    <hyperlink ref="AQ266" r:id="rId12" display="http://cdsbib.u-strasbg.fr/cgi-bin/cdsbib?1990RMxAA..21..381G" xr:uid="{00000000-0004-0000-0000-00000B000000}"/>
    <hyperlink ref="I3010" r:id="rId13" display="http://vsolj.cetus-net.org/bulletin.html" xr:uid="{00000000-0004-0000-0000-00000C000000}"/>
    <hyperlink ref="H3010" r:id="rId14" display="http://vsolj.cetus-net.org/bulletin.html" xr:uid="{00000000-0004-0000-0000-00000D000000}"/>
    <hyperlink ref="AQ927" r:id="rId15" display="http://cdsbib.u-strasbg.fr/cgi-bin/cdsbib?1990RMxAA..21..381G" xr:uid="{00000000-0004-0000-0000-00000E000000}"/>
    <hyperlink ref="AQ926" r:id="rId16" display="http://cdsbib.u-strasbg.fr/cgi-bin/cdsbib?1990RMxAA..21..381G" xr:uid="{00000000-0004-0000-0000-00000F000000}"/>
    <hyperlink ref="AP4180" r:id="rId17" display="http://cdsbib.u-strasbg.fr/cgi-bin/cdsbib?1990RMxAA..21..381G" xr:uid="{00000000-0004-0000-0000-000010000000}"/>
    <hyperlink ref="AP4198" r:id="rId18" display="http://cdsbib.u-strasbg.fr/cgi-bin/cdsbib?1990RMxAA..21..381G" xr:uid="{00000000-0004-0000-0000-000011000000}"/>
    <hyperlink ref="AP4199" r:id="rId19" display="http://cdsbib.u-strasbg.fr/cgi-bin/cdsbib?1990RMxAA..21..381G" xr:uid="{00000000-0004-0000-0000-000012000000}"/>
    <hyperlink ref="AP4195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topLeftCell="A89" workbookViewId="0">
      <selection activeCell="A81" sqref="A81:D128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3" t="s">
        <v>96</v>
      </c>
      <c r="I1" s="34" t="s">
        <v>97</v>
      </c>
      <c r="J1" s="35" t="s">
        <v>98</v>
      </c>
    </row>
    <row r="2" spans="1:16">
      <c r="I2" s="36" t="s">
        <v>99</v>
      </c>
      <c r="J2" s="37" t="s">
        <v>100</v>
      </c>
    </row>
    <row r="3" spans="1:16">
      <c r="A3" s="38" t="s">
        <v>101</v>
      </c>
      <c r="I3" s="36" t="s">
        <v>102</v>
      </c>
      <c r="J3" s="37" t="s">
        <v>103</v>
      </c>
    </row>
    <row r="4" spans="1:16">
      <c r="I4" s="36" t="s">
        <v>104</v>
      </c>
      <c r="J4" s="37" t="s">
        <v>103</v>
      </c>
    </row>
    <row r="5" spans="1:16" ht="13.5" thickBot="1">
      <c r="I5" s="39" t="s">
        <v>105</v>
      </c>
      <c r="J5" s="40" t="s">
        <v>106</v>
      </c>
    </row>
    <row r="10" spans="1:16" ht="13.5" thickBot="1"/>
    <row r="11" spans="1:16" ht="12.75" customHeight="1" thickBot="1">
      <c r="A11" s="10" t="str">
        <f t="shared" ref="A11:A42" si="0">P11</f>
        <v> ORI 126 </v>
      </c>
      <c r="B11" s="15" t="str">
        <f t="shared" ref="B11:B42" si="1">IF(H11=INT(H11),"I","II")</f>
        <v>I</v>
      </c>
      <c r="C11" s="10">
        <f t="shared" ref="C11:C42" si="2">1*G11</f>
        <v>41176.487000000001</v>
      </c>
      <c r="D11" s="12" t="str">
        <f t="shared" ref="D11:D42" si="3">VLOOKUP(F11,I$1:J$5,2,FALSE)</f>
        <v>vis</v>
      </c>
      <c r="E11" s="41">
        <f>VLOOKUP(C11,Active!C$21:E$968,3,FALSE)</f>
        <v>-2540.9706503458456</v>
      </c>
      <c r="F11" s="15" t="s">
        <v>105</v>
      </c>
      <c r="G11" s="12" t="str">
        <f t="shared" ref="G11:G42" si="4">MID(I11,3,LEN(I11)-3)</f>
        <v>41176.487</v>
      </c>
      <c r="H11" s="10">
        <f t="shared" ref="H11:H42" si="5">1*K11</f>
        <v>-9569</v>
      </c>
      <c r="I11" s="42" t="s">
        <v>199</v>
      </c>
      <c r="J11" s="43" t="s">
        <v>200</v>
      </c>
      <c r="K11" s="42">
        <v>-9569</v>
      </c>
      <c r="L11" s="42" t="s">
        <v>201</v>
      </c>
      <c r="M11" s="43" t="s">
        <v>124</v>
      </c>
      <c r="N11" s="43"/>
      <c r="O11" s="44" t="s">
        <v>202</v>
      </c>
      <c r="P11" s="44" t="s">
        <v>203</v>
      </c>
    </row>
    <row r="12" spans="1:16" ht="12.75" customHeight="1" thickBot="1">
      <c r="A12" s="10" t="str">
        <f t="shared" si="0"/>
        <v> ORI 127 </v>
      </c>
      <c r="B12" s="15" t="str">
        <f t="shared" si="1"/>
        <v>I</v>
      </c>
      <c r="C12" s="10">
        <f t="shared" si="2"/>
        <v>41216.33</v>
      </c>
      <c r="D12" s="12" t="str">
        <f t="shared" si="3"/>
        <v>vis</v>
      </c>
      <c r="E12" s="41">
        <f>VLOOKUP(C12,Active!C$21:E$968,3,FALSE)</f>
        <v>-2512.9803619074087</v>
      </c>
      <c r="F12" s="15" t="s">
        <v>105</v>
      </c>
      <c r="G12" s="12" t="str">
        <f t="shared" si="4"/>
        <v>41216.330</v>
      </c>
      <c r="H12" s="10">
        <f t="shared" si="5"/>
        <v>-9541</v>
      </c>
      <c r="I12" s="42" t="s">
        <v>204</v>
      </c>
      <c r="J12" s="43" t="s">
        <v>205</v>
      </c>
      <c r="K12" s="42">
        <v>-9541</v>
      </c>
      <c r="L12" s="42" t="s">
        <v>206</v>
      </c>
      <c r="M12" s="43" t="s">
        <v>124</v>
      </c>
      <c r="N12" s="43"/>
      <c r="O12" s="44" t="s">
        <v>202</v>
      </c>
      <c r="P12" s="44" t="s">
        <v>207</v>
      </c>
    </row>
    <row r="13" spans="1:16" ht="12.75" customHeight="1" thickBot="1">
      <c r="A13" s="10" t="str">
        <f t="shared" si="0"/>
        <v> BBS 3 </v>
      </c>
      <c r="B13" s="15" t="str">
        <f t="shared" si="1"/>
        <v>I</v>
      </c>
      <c r="C13" s="10">
        <f t="shared" si="2"/>
        <v>41472.546000000002</v>
      </c>
      <c r="D13" s="12" t="str">
        <f t="shared" si="3"/>
        <v>vis</v>
      </c>
      <c r="E13" s="41">
        <f>VLOOKUP(C13,Active!C$21:E$968,3,FALSE)</f>
        <v>-2332.9848861013079</v>
      </c>
      <c r="F13" s="15" t="s">
        <v>105</v>
      </c>
      <c r="G13" s="12" t="str">
        <f t="shared" si="4"/>
        <v>41472.546</v>
      </c>
      <c r="H13" s="10">
        <f t="shared" si="5"/>
        <v>-9361</v>
      </c>
      <c r="I13" s="42" t="s">
        <v>208</v>
      </c>
      <c r="J13" s="43" t="s">
        <v>209</v>
      </c>
      <c r="K13" s="42">
        <v>-9361</v>
      </c>
      <c r="L13" s="42" t="s">
        <v>210</v>
      </c>
      <c r="M13" s="43" t="s">
        <v>124</v>
      </c>
      <c r="N13" s="43"/>
      <c r="O13" s="44" t="s">
        <v>202</v>
      </c>
      <c r="P13" s="44" t="s">
        <v>211</v>
      </c>
    </row>
    <row r="14" spans="1:16" ht="12.75" customHeight="1" thickBot="1">
      <c r="A14" s="10" t="str">
        <f t="shared" si="0"/>
        <v> BBS 5 </v>
      </c>
      <c r="B14" s="15" t="str">
        <f t="shared" si="1"/>
        <v>I</v>
      </c>
      <c r="C14" s="10">
        <f t="shared" si="2"/>
        <v>41539.447</v>
      </c>
      <c r="D14" s="12" t="str">
        <f t="shared" si="3"/>
        <v>vis</v>
      </c>
      <c r="E14" s="41">
        <f>VLOOKUP(C14,Active!C$21:E$968,3,FALSE)</f>
        <v>-2285.9859581385595</v>
      </c>
      <c r="F14" s="15" t="s">
        <v>105</v>
      </c>
      <c r="G14" s="12" t="str">
        <f t="shared" si="4"/>
        <v>41539.447</v>
      </c>
      <c r="H14" s="10">
        <f t="shared" si="5"/>
        <v>-9314</v>
      </c>
      <c r="I14" s="42" t="s">
        <v>212</v>
      </c>
      <c r="J14" s="43" t="s">
        <v>213</v>
      </c>
      <c r="K14" s="42">
        <v>-9314</v>
      </c>
      <c r="L14" s="42" t="s">
        <v>214</v>
      </c>
      <c r="M14" s="43" t="s">
        <v>124</v>
      </c>
      <c r="N14" s="43"/>
      <c r="O14" s="44" t="s">
        <v>215</v>
      </c>
      <c r="P14" s="44" t="s">
        <v>216</v>
      </c>
    </row>
    <row r="15" spans="1:16" ht="12.75" customHeight="1" thickBot="1">
      <c r="A15" s="10" t="str">
        <f t="shared" si="0"/>
        <v> BBS 5 </v>
      </c>
      <c r="B15" s="15" t="str">
        <f t="shared" si="1"/>
        <v>I</v>
      </c>
      <c r="C15" s="10">
        <f t="shared" si="2"/>
        <v>41569.334000000003</v>
      </c>
      <c r="D15" s="12" t="str">
        <f t="shared" si="3"/>
        <v>vis</v>
      </c>
      <c r="E15" s="41">
        <f>VLOOKUP(C15,Active!C$21:E$968,3,FALSE)</f>
        <v>-2264.989904865472</v>
      </c>
      <c r="F15" s="15" t="s">
        <v>105</v>
      </c>
      <c r="G15" s="12" t="str">
        <f t="shared" si="4"/>
        <v>41569.334</v>
      </c>
      <c r="H15" s="10">
        <f t="shared" si="5"/>
        <v>-9293</v>
      </c>
      <c r="I15" s="42" t="s">
        <v>217</v>
      </c>
      <c r="J15" s="43" t="s">
        <v>218</v>
      </c>
      <c r="K15" s="42">
        <v>-9293</v>
      </c>
      <c r="L15" s="42" t="s">
        <v>219</v>
      </c>
      <c r="M15" s="43" t="s">
        <v>124</v>
      </c>
      <c r="N15" s="43"/>
      <c r="O15" s="44" t="s">
        <v>215</v>
      </c>
      <c r="P15" s="44" t="s">
        <v>216</v>
      </c>
    </row>
    <row r="16" spans="1:16" ht="12.75" customHeight="1" thickBot="1">
      <c r="A16" s="10" t="str">
        <f t="shared" si="0"/>
        <v> BBS 5 </v>
      </c>
      <c r="B16" s="15" t="str">
        <f t="shared" si="1"/>
        <v>I</v>
      </c>
      <c r="C16" s="10">
        <f t="shared" si="2"/>
        <v>41589.277999999998</v>
      </c>
      <c r="D16" s="12" t="str">
        <f t="shared" si="3"/>
        <v>vis</v>
      </c>
      <c r="E16" s="41">
        <f>VLOOKUP(C16,Active!C$21:E$968,3,FALSE)</f>
        <v>-2250.9789540681913</v>
      </c>
      <c r="F16" s="15" t="s">
        <v>105</v>
      </c>
      <c r="G16" s="12" t="str">
        <f t="shared" si="4"/>
        <v>41589.278</v>
      </c>
      <c r="H16" s="10">
        <f t="shared" si="5"/>
        <v>-9279</v>
      </c>
      <c r="I16" s="42" t="s">
        <v>220</v>
      </c>
      <c r="J16" s="43" t="s">
        <v>221</v>
      </c>
      <c r="K16" s="42">
        <v>-9279</v>
      </c>
      <c r="L16" s="42" t="s">
        <v>222</v>
      </c>
      <c r="M16" s="43" t="s">
        <v>124</v>
      </c>
      <c r="N16" s="43"/>
      <c r="O16" s="44" t="s">
        <v>202</v>
      </c>
      <c r="P16" s="44" t="s">
        <v>216</v>
      </c>
    </row>
    <row r="17" spans="1:16" ht="12.75" customHeight="1" thickBot="1">
      <c r="A17" s="10" t="str">
        <f t="shared" si="0"/>
        <v> BBS 6 </v>
      </c>
      <c r="B17" s="15" t="str">
        <f t="shared" si="1"/>
        <v>I</v>
      </c>
      <c r="C17" s="10">
        <f t="shared" si="2"/>
        <v>41626.269</v>
      </c>
      <c r="D17" s="12" t="str">
        <f t="shared" si="3"/>
        <v>vis</v>
      </c>
      <c r="E17" s="41">
        <f>VLOOKUP(C17,Active!C$21:E$968,3,FALSE)</f>
        <v>-2224.9922372138817</v>
      </c>
      <c r="F17" s="15" t="s">
        <v>105</v>
      </c>
      <c r="G17" s="12" t="str">
        <f t="shared" si="4"/>
        <v>41626.269</v>
      </c>
      <c r="H17" s="10">
        <f t="shared" si="5"/>
        <v>-9253</v>
      </c>
      <c r="I17" s="42" t="s">
        <v>223</v>
      </c>
      <c r="J17" s="43" t="s">
        <v>224</v>
      </c>
      <c r="K17" s="42">
        <v>-9253</v>
      </c>
      <c r="L17" s="42" t="s">
        <v>225</v>
      </c>
      <c r="M17" s="43" t="s">
        <v>124</v>
      </c>
      <c r="N17" s="43"/>
      <c r="O17" s="44" t="s">
        <v>202</v>
      </c>
      <c r="P17" s="44" t="s">
        <v>226</v>
      </c>
    </row>
    <row r="18" spans="1:16" ht="12.75" customHeight="1" thickBot="1">
      <c r="A18" s="10" t="str">
        <f t="shared" si="0"/>
        <v> BBS 9 </v>
      </c>
      <c r="B18" s="15" t="str">
        <f t="shared" si="1"/>
        <v>I</v>
      </c>
      <c r="C18" s="10">
        <f t="shared" si="2"/>
        <v>41815.591</v>
      </c>
      <c r="D18" s="12" t="str">
        <f t="shared" si="3"/>
        <v>vis</v>
      </c>
      <c r="E18" s="41">
        <f>VLOOKUP(C18,Active!C$21:E$968,3,FALSE)</f>
        <v>-2091.9907717684664</v>
      </c>
      <c r="F18" s="15" t="s">
        <v>105</v>
      </c>
      <c r="G18" s="12" t="str">
        <f t="shared" si="4"/>
        <v>41815.591</v>
      </c>
      <c r="H18" s="10">
        <f t="shared" si="5"/>
        <v>-9120</v>
      </c>
      <c r="I18" s="42" t="s">
        <v>227</v>
      </c>
      <c r="J18" s="43" t="s">
        <v>228</v>
      </c>
      <c r="K18" s="42">
        <v>-9120</v>
      </c>
      <c r="L18" s="42" t="s">
        <v>229</v>
      </c>
      <c r="M18" s="43" t="s">
        <v>124</v>
      </c>
      <c r="N18" s="43"/>
      <c r="O18" s="44" t="s">
        <v>202</v>
      </c>
      <c r="P18" s="44" t="s">
        <v>230</v>
      </c>
    </row>
    <row r="19" spans="1:16" ht="12.75" customHeight="1" thickBot="1">
      <c r="A19" s="10" t="str">
        <f t="shared" si="0"/>
        <v> BBS 10 </v>
      </c>
      <c r="B19" s="15" t="str">
        <f t="shared" si="1"/>
        <v>I</v>
      </c>
      <c r="C19" s="10">
        <f t="shared" si="2"/>
        <v>41865.413999999997</v>
      </c>
      <c r="D19" s="12" t="str">
        <f t="shared" si="3"/>
        <v>vis</v>
      </c>
      <c r="E19" s="41">
        <f>VLOOKUP(C19,Active!C$21:E$968,3,FALSE)</f>
        <v>-2056.9893878147445</v>
      </c>
      <c r="F19" s="15" t="s">
        <v>105</v>
      </c>
      <c r="G19" s="12" t="str">
        <f t="shared" si="4"/>
        <v>41865.414</v>
      </c>
      <c r="H19" s="10">
        <f t="shared" si="5"/>
        <v>-9085</v>
      </c>
      <c r="I19" s="42" t="s">
        <v>231</v>
      </c>
      <c r="J19" s="43" t="s">
        <v>232</v>
      </c>
      <c r="K19" s="42">
        <v>-9085</v>
      </c>
      <c r="L19" s="42" t="s">
        <v>219</v>
      </c>
      <c r="M19" s="43" t="s">
        <v>124</v>
      </c>
      <c r="N19" s="43"/>
      <c r="O19" s="44" t="s">
        <v>202</v>
      </c>
      <c r="P19" s="44" t="s">
        <v>233</v>
      </c>
    </row>
    <row r="20" spans="1:16" ht="12.75" customHeight="1" thickBot="1">
      <c r="A20" s="10" t="str">
        <f t="shared" si="0"/>
        <v> BBS 10 </v>
      </c>
      <c r="B20" s="15" t="str">
        <f t="shared" si="1"/>
        <v>I</v>
      </c>
      <c r="C20" s="10">
        <f t="shared" si="2"/>
        <v>41892.464999999997</v>
      </c>
      <c r="D20" s="12" t="str">
        <f t="shared" si="3"/>
        <v>vis</v>
      </c>
      <c r="E20" s="41">
        <f>VLOOKUP(C20,Active!C$21:E$968,3,FALSE)</f>
        <v>-2037.9856658924964</v>
      </c>
      <c r="F20" s="15" t="s">
        <v>105</v>
      </c>
      <c r="G20" s="12" t="str">
        <f t="shared" si="4"/>
        <v>41892.465</v>
      </c>
      <c r="H20" s="10">
        <f t="shared" si="5"/>
        <v>-9066</v>
      </c>
      <c r="I20" s="42" t="s">
        <v>234</v>
      </c>
      <c r="J20" s="43" t="s">
        <v>235</v>
      </c>
      <c r="K20" s="42">
        <v>-9066</v>
      </c>
      <c r="L20" s="42" t="s">
        <v>236</v>
      </c>
      <c r="M20" s="43" t="s">
        <v>124</v>
      </c>
      <c r="N20" s="43"/>
      <c r="O20" s="44" t="s">
        <v>202</v>
      </c>
      <c r="P20" s="44" t="s">
        <v>233</v>
      </c>
    </row>
    <row r="21" spans="1:16" ht="12.75" customHeight="1" thickBot="1">
      <c r="A21" s="10" t="str">
        <f t="shared" si="0"/>
        <v> BBS 11 </v>
      </c>
      <c r="B21" s="15" t="str">
        <f t="shared" si="1"/>
        <v>I</v>
      </c>
      <c r="C21" s="10">
        <f t="shared" si="2"/>
        <v>41932.315000000002</v>
      </c>
      <c r="D21" s="12" t="str">
        <f t="shared" si="3"/>
        <v>vis</v>
      </c>
      <c r="E21" s="41">
        <f>VLOOKUP(C21,Active!C$21:E$968,3,FALSE)</f>
        <v>-2009.9904598519911</v>
      </c>
      <c r="F21" s="15" t="s">
        <v>105</v>
      </c>
      <c r="G21" s="12" t="str">
        <f t="shared" si="4"/>
        <v>41932.315</v>
      </c>
      <c r="H21" s="10">
        <f t="shared" si="5"/>
        <v>-9038</v>
      </c>
      <c r="I21" s="42" t="s">
        <v>237</v>
      </c>
      <c r="J21" s="43" t="s">
        <v>238</v>
      </c>
      <c r="K21" s="42">
        <v>-9038</v>
      </c>
      <c r="L21" s="42" t="s">
        <v>229</v>
      </c>
      <c r="M21" s="43" t="s">
        <v>124</v>
      </c>
      <c r="N21" s="43"/>
      <c r="O21" s="44" t="s">
        <v>202</v>
      </c>
      <c r="P21" s="44" t="s">
        <v>239</v>
      </c>
    </row>
    <row r="22" spans="1:16" ht="12.75" customHeight="1" thickBot="1">
      <c r="A22" s="10" t="str">
        <f t="shared" si="0"/>
        <v> BBS 12 </v>
      </c>
      <c r="B22" s="15" t="str">
        <f t="shared" si="1"/>
        <v>I</v>
      </c>
      <c r="C22" s="10">
        <f t="shared" si="2"/>
        <v>41959.360999999997</v>
      </c>
      <c r="D22" s="12" t="str">
        <f t="shared" si="3"/>
        <v>vis</v>
      </c>
      <c r="E22" s="41">
        <f>VLOOKUP(C22,Active!C$21:E$968,3,FALSE)</f>
        <v>-1990.9902505026496</v>
      </c>
      <c r="F22" s="15" t="s">
        <v>105</v>
      </c>
      <c r="G22" s="12" t="str">
        <f t="shared" si="4"/>
        <v>41959.361</v>
      </c>
      <c r="H22" s="10">
        <f t="shared" si="5"/>
        <v>-9019</v>
      </c>
      <c r="I22" s="42" t="s">
        <v>240</v>
      </c>
      <c r="J22" s="43" t="s">
        <v>241</v>
      </c>
      <c r="K22" s="42">
        <v>-9019</v>
      </c>
      <c r="L22" s="42" t="s">
        <v>229</v>
      </c>
      <c r="M22" s="43" t="s">
        <v>124</v>
      </c>
      <c r="N22" s="43"/>
      <c r="O22" s="44" t="s">
        <v>202</v>
      </c>
      <c r="P22" s="44" t="s">
        <v>242</v>
      </c>
    </row>
    <row r="23" spans="1:16" ht="12.75" customHeight="1" thickBot="1">
      <c r="A23" s="10" t="str">
        <f t="shared" si="0"/>
        <v> BBS 12 </v>
      </c>
      <c r="B23" s="15" t="str">
        <f t="shared" si="1"/>
        <v>I</v>
      </c>
      <c r="C23" s="10">
        <f t="shared" si="2"/>
        <v>41989.254999999997</v>
      </c>
      <c r="D23" s="12" t="str">
        <f t="shared" si="3"/>
        <v>vis</v>
      </c>
      <c r="E23" s="41">
        <f>VLOOKUP(C23,Active!C$21:E$968,3,FALSE)</f>
        <v>-1969.9892796274989</v>
      </c>
      <c r="F23" s="15" t="s">
        <v>105</v>
      </c>
      <c r="G23" s="12" t="str">
        <f t="shared" si="4"/>
        <v>41989.255</v>
      </c>
      <c r="H23" s="10">
        <f t="shared" si="5"/>
        <v>-8998</v>
      </c>
      <c r="I23" s="42" t="s">
        <v>243</v>
      </c>
      <c r="J23" s="43" t="s">
        <v>244</v>
      </c>
      <c r="K23" s="42">
        <v>-8998</v>
      </c>
      <c r="L23" s="42" t="s">
        <v>219</v>
      </c>
      <c r="M23" s="43" t="s">
        <v>124</v>
      </c>
      <c r="N23" s="43"/>
      <c r="O23" s="44" t="s">
        <v>202</v>
      </c>
      <c r="P23" s="44" t="s">
        <v>242</v>
      </c>
    </row>
    <row r="24" spans="1:16" ht="12.75" customHeight="1" thickBot="1">
      <c r="A24" s="10" t="str">
        <f t="shared" si="0"/>
        <v> BBS 17 </v>
      </c>
      <c r="B24" s="15" t="str">
        <f t="shared" si="1"/>
        <v>I</v>
      </c>
      <c r="C24" s="10">
        <f t="shared" si="2"/>
        <v>42272.517999999996</v>
      </c>
      <c r="D24" s="12" t="str">
        <f t="shared" si="3"/>
        <v>vis</v>
      </c>
      <c r="E24" s="41">
        <f>VLOOKUP(C24,Active!C$21:E$968,3,FALSE)</f>
        <v>-1770.9928919574736</v>
      </c>
      <c r="F24" s="15" t="s">
        <v>105</v>
      </c>
      <c r="G24" s="12" t="str">
        <f t="shared" si="4"/>
        <v>42272.518</v>
      </c>
      <c r="H24" s="10">
        <f t="shared" si="5"/>
        <v>-8799</v>
      </c>
      <c r="I24" s="42" t="s">
        <v>245</v>
      </c>
      <c r="J24" s="43" t="s">
        <v>246</v>
      </c>
      <c r="K24" s="42">
        <v>-8799</v>
      </c>
      <c r="L24" s="42" t="s">
        <v>247</v>
      </c>
      <c r="M24" s="43" t="s">
        <v>124</v>
      </c>
      <c r="N24" s="43"/>
      <c r="O24" s="44" t="s">
        <v>202</v>
      </c>
      <c r="P24" s="44" t="s">
        <v>248</v>
      </c>
    </row>
    <row r="25" spans="1:16" ht="12.75" customHeight="1" thickBot="1">
      <c r="A25" s="10" t="str">
        <f t="shared" si="0"/>
        <v> BBS 23 </v>
      </c>
      <c r="B25" s="15" t="str">
        <f t="shared" si="1"/>
        <v>I</v>
      </c>
      <c r="C25" s="10">
        <f t="shared" si="2"/>
        <v>42568.584999999999</v>
      </c>
      <c r="D25" s="12" t="str">
        <f t="shared" si="3"/>
        <v>vis</v>
      </c>
      <c r="E25" s="41">
        <f>VLOOKUP(C25,Active!C$21:E$968,3,FALSE)</f>
        <v>-1563.0015075962892</v>
      </c>
      <c r="F25" s="15" t="s">
        <v>105</v>
      </c>
      <c r="G25" s="12" t="str">
        <f t="shared" si="4"/>
        <v>42568.585</v>
      </c>
      <c r="H25" s="10">
        <f t="shared" si="5"/>
        <v>-8591</v>
      </c>
      <c r="I25" s="42" t="s">
        <v>249</v>
      </c>
      <c r="J25" s="43" t="s">
        <v>250</v>
      </c>
      <c r="K25" s="42">
        <v>-8591</v>
      </c>
      <c r="L25" s="42" t="s">
        <v>251</v>
      </c>
      <c r="M25" s="43" t="s">
        <v>124</v>
      </c>
      <c r="N25" s="43"/>
      <c r="O25" s="44" t="s">
        <v>202</v>
      </c>
      <c r="P25" s="44" t="s">
        <v>252</v>
      </c>
    </row>
    <row r="26" spans="1:16" ht="12.75" customHeight="1" thickBot="1">
      <c r="A26" s="10" t="str">
        <f t="shared" si="0"/>
        <v> BBS 23 </v>
      </c>
      <c r="B26" s="15" t="str">
        <f t="shared" si="1"/>
        <v>I</v>
      </c>
      <c r="C26" s="10">
        <f t="shared" si="2"/>
        <v>42628.387000000002</v>
      </c>
      <c r="D26" s="12" t="str">
        <f t="shared" si="3"/>
        <v>vis</v>
      </c>
      <c r="E26" s="41">
        <f>VLOOKUP(C26,Active!C$21:E$968,3,FALSE)</f>
        <v>-1520.9897306418561</v>
      </c>
      <c r="F26" s="15" t="s">
        <v>105</v>
      </c>
      <c r="G26" s="12" t="str">
        <f t="shared" si="4"/>
        <v>42628.387</v>
      </c>
      <c r="H26" s="10">
        <f t="shared" si="5"/>
        <v>-8549</v>
      </c>
      <c r="I26" s="42" t="s">
        <v>253</v>
      </c>
      <c r="J26" s="43" t="s">
        <v>254</v>
      </c>
      <c r="K26" s="42">
        <v>-8549</v>
      </c>
      <c r="L26" s="42" t="s">
        <v>225</v>
      </c>
      <c r="M26" s="43" t="s">
        <v>124</v>
      </c>
      <c r="N26" s="43"/>
      <c r="O26" s="44" t="s">
        <v>202</v>
      </c>
      <c r="P26" s="44" t="s">
        <v>252</v>
      </c>
    </row>
    <row r="27" spans="1:16" ht="12.75" customHeight="1" thickBot="1">
      <c r="A27" s="10" t="str">
        <f t="shared" si="0"/>
        <v> BBS 23 </v>
      </c>
      <c r="B27" s="15" t="str">
        <f t="shared" si="1"/>
        <v>I</v>
      </c>
      <c r="C27" s="10">
        <f t="shared" si="2"/>
        <v>42638.353000000003</v>
      </c>
      <c r="D27" s="12" t="str">
        <f t="shared" si="3"/>
        <v>vis</v>
      </c>
      <c r="E27" s="41">
        <f>VLOOKUP(C27,Active!C$21:E$968,3,FALSE)</f>
        <v>-1513.9884703306982</v>
      </c>
      <c r="F27" s="15" t="s">
        <v>105</v>
      </c>
      <c r="G27" s="12" t="str">
        <f t="shared" si="4"/>
        <v>42638.353</v>
      </c>
      <c r="H27" s="10">
        <f t="shared" si="5"/>
        <v>-8542</v>
      </c>
      <c r="I27" s="42" t="s">
        <v>255</v>
      </c>
      <c r="J27" s="43" t="s">
        <v>256</v>
      </c>
      <c r="K27" s="42">
        <v>-8542</v>
      </c>
      <c r="L27" s="42" t="s">
        <v>257</v>
      </c>
      <c r="M27" s="43" t="s">
        <v>124</v>
      </c>
      <c r="N27" s="43"/>
      <c r="O27" s="44" t="s">
        <v>202</v>
      </c>
      <c r="P27" s="44" t="s">
        <v>252</v>
      </c>
    </row>
    <row r="28" spans="1:16" ht="12.75" customHeight="1" thickBot="1">
      <c r="A28" s="10" t="str">
        <f t="shared" si="0"/>
        <v> BBS 24 </v>
      </c>
      <c r="B28" s="15" t="str">
        <f t="shared" si="1"/>
        <v>I</v>
      </c>
      <c r="C28" s="10">
        <f t="shared" si="2"/>
        <v>42665.38</v>
      </c>
      <c r="D28" s="12" t="str">
        <f t="shared" si="3"/>
        <v>vis</v>
      </c>
      <c r="E28" s="41">
        <f>VLOOKUP(C28,Active!C$21:E$968,3,FALSE)</f>
        <v>-1495.0016087583899</v>
      </c>
      <c r="F28" s="15" t="s">
        <v>105</v>
      </c>
      <c r="G28" s="12" t="str">
        <f t="shared" si="4"/>
        <v>42665.380</v>
      </c>
      <c r="H28" s="10">
        <f t="shared" si="5"/>
        <v>-8523</v>
      </c>
      <c r="I28" s="42" t="s">
        <v>258</v>
      </c>
      <c r="J28" s="43" t="s">
        <v>259</v>
      </c>
      <c r="K28" s="42">
        <v>-8523</v>
      </c>
      <c r="L28" s="42" t="s">
        <v>251</v>
      </c>
      <c r="M28" s="43" t="s">
        <v>124</v>
      </c>
      <c r="N28" s="43"/>
      <c r="O28" s="44" t="s">
        <v>202</v>
      </c>
      <c r="P28" s="44" t="s">
        <v>260</v>
      </c>
    </row>
    <row r="29" spans="1:16" ht="12.75" customHeight="1" thickBot="1">
      <c r="A29" s="10" t="str">
        <f t="shared" si="0"/>
        <v> BBS 34 </v>
      </c>
      <c r="B29" s="15" t="str">
        <f t="shared" si="1"/>
        <v>I</v>
      </c>
      <c r="C29" s="10">
        <f t="shared" si="2"/>
        <v>43361.455000000002</v>
      </c>
      <c r="D29" s="12" t="str">
        <f t="shared" si="3"/>
        <v>vis</v>
      </c>
      <c r="E29" s="41">
        <f>VLOOKUP(C29,Active!C$21:E$968,3,FALSE)</f>
        <v>-1005.9987720045101</v>
      </c>
      <c r="F29" s="15" t="s">
        <v>105</v>
      </c>
      <c r="G29" s="12" t="str">
        <f t="shared" si="4"/>
        <v>43361.455</v>
      </c>
      <c r="H29" s="10">
        <f t="shared" si="5"/>
        <v>-8034</v>
      </c>
      <c r="I29" s="42" t="s">
        <v>265</v>
      </c>
      <c r="J29" s="43" t="s">
        <v>266</v>
      </c>
      <c r="K29" s="42">
        <v>-8034</v>
      </c>
      <c r="L29" s="42" t="s">
        <v>267</v>
      </c>
      <c r="M29" s="43" t="s">
        <v>124</v>
      </c>
      <c r="N29" s="43"/>
      <c r="O29" s="44" t="s">
        <v>202</v>
      </c>
      <c r="P29" s="44" t="s">
        <v>268</v>
      </c>
    </row>
    <row r="30" spans="1:16" ht="12.75" customHeight="1" thickBot="1">
      <c r="A30" s="10" t="str">
        <f t="shared" si="0"/>
        <v> BBS 35 </v>
      </c>
      <c r="B30" s="15" t="str">
        <f t="shared" si="1"/>
        <v>I</v>
      </c>
      <c r="C30" s="10">
        <f t="shared" si="2"/>
        <v>43401.315000000002</v>
      </c>
      <c r="D30" s="12" t="str">
        <f t="shared" si="3"/>
        <v>vis</v>
      </c>
      <c r="E30" s="41">
        <f>VLOOKUP(C30,Active!C$21:E$968,3,FALSE)</f>
        <v>-977.99654081820131</v>
      </c>
      <c r="F30" s="15" t="s">
        <v>105</v>
      </c>
      <c r="G30" s="12" t="str">
        <f t="shared" si="4"/>
        <v>43401.315</v>
      </c>
      <c r="H30" s="10">
        <f t="shared" si="5"/>
        <v>-8006</v>
      </c>
      <c r="I30" s="42" t="s">
        <v>269</v>
      </c>
      <c r="J30" s="43" t="s">
        <v>270</v>
      </c>
      <c r="K30" s="42">
        <v>-8006</v>
      </c>
      <c r="L30" s="42" t="s">
        <v>271</v>
      </c>
      <c r="M30" s="43" t="s">
        <v>124</v>
      </c>
      <c r="N30" s="43"/>
      <c r="O30" s="44" t="s">
        <v>202</v>
      </c>
      <c r="P30" s="44" t="s">
        <v>272</v>
      </c>
    </row>
    <row r="31" spans="1:16" ht="12.75" customHeight="1" thickBot="1">
      <c r="A31" s="10" t="str">
        <f t="shared" si="0"/>
        <v> BBS 37 </v>
      </c>
      <c r="B31" s="15" t="str">
        <f t="shared" si="1"/>
        <v>I</v>
      </c>
      <c r="C31" s="10">
        <f t="shared" si="2"/>
        <v>43657.534</v>
      </c>
      <c r="D31" s="12" t="str">
        <f t="shared" si="3"/>
        <v>vis</v>
      </c>
      <c r="E31" s="41">
        <f>VLOOKUP(C31,Active!C$21:E$968,3,FALSE)</f>
        <v>-797.9989574683608</v>
      </c>
      <c r="F31" s="15" t="s">
        <v>105</v>
      </c>
      <c r="G31" s="12" t="str">
        <f t="shared" si="4"/>
        <v>43657.534</v>
      </c>
      <c r="H31" s="10">
        <f t="shared" si="5"/>
        <v>-7826</v>
      </c>
      <c r="I31" s="42" t="s">
        <v>273</v>
      </c>
      <c r="J31" s="43" t="s">
        <v>274</v>
      </c>
      <c r="K31" s="42">
        <v>-7826</v>
      </c>
      <c r="L31" s="42" t="s">
        <v>275</v>
      </c>
      <c r="M31" s="43" t="s">
        <v>124</v>
      </c>
      <c r="N31" s="43"/>
      <c r="O31" s="44" t="s">
        <v>202</v>
      </c>
      <c r="P31" s="44" t="s">
        <v>276</v>
      </c>
    </row>
    <row r="32" spans="1:16" ht="12.75" customHeight="1" thickBot="1">
      <c r="A32" s="10" t="str">
        <f t="shared" si="0"/>
        <v> BBS 38 </v>
      </c>
      <c r="B32" s="15" t="str">
        <f t="shared" si="1"/>
        <v>I</v>
      </c>
      <c r="C32" s="10">
        <f t="shared" si="2"/>
        <v>43724.438000000002</v>
      </c>
      <c r="D32" s="12" t="str">
        <f t="shared" si="3"/>
        <v>vis</v>
      </c>
      <c r="E32" s="41">
        <f>VLOOKUP(C32,Active!C$21:E$968,3,FALSE)</f>
        <v>-750.99792196186729</v>
      </c>
      <c r="F32" s="15" t="s">
        <v>105</v>
      </c>
      <c r="G32" s="12" t="str">
        <f t="shared" si="4"/>
        <v>43724.438</v>
      </c>
      <c r="H32" s="10">
        <f t="shared" si="5"/>
        <v>-7779</v>
      </c>
      <c r="I32" s="42" t="s">
        <v>277</v>
      </c>
      <c r="J32" s="43" t="s">
        <v>278</v>
      </c>
      <c r="K32" s="42">
        <v>-7779</v>
      </c>
      <c r="L32" s="42" t="s">
        <v>267</v>
      </c>
      <c r="M32" s="43" t="s">
        <v>124</v>
      </c>
      <c r="N32" s="43"/>
      <c r="O32" s="44" t="s">
        <v>202</v>
      </c>
      <c r="P32" s="44" t="s">
        <v>279</v>
      </c>
    </row>
    <row r="33" spans="1:16" ht="12.75" customHeight="1" thickBot="1">
      <c r="A33" s="10" t="str">
        <f t="shared" si="0"/>
        <v> BBS 38 </v>
      </c>
      <c r="B33" s="15" t="str">
        <f t="shared" si="1"/>
        <v>I</v>
      </c>
      <c r="C33" s="10">
        <f t="shared" si="2"/>
        <v>43744.362999999998</v>
      </c>
      <c r="D33" s="12" t="str">
        <f t="shared" si="3"/>
        <v>vis</v>
      </c>
      <c r="E33" s="41">
        <f>VLOOKUP(C33,Active!C$21:E$968,3,FALSE)</f>
        <v>-737.00031894161964</v>
      </c>
      <c r="F33" s="15" t="s">
        <v>105</v>
      </c>
      <c r="G33" s="12" t="str">
        <f t="shared" si="4"/>
        <v>43744.363</v>
      </c>
      <c r="H33" s="10">
        <f t="shared" si="5"/>
        <v>-7765</v>
      </c>
      <c r="I33" s="42" t="s">
        <v>280</v>
      </c>
      <c r="J33" s="43" t="s">
        <v>281</v>
      </c>
      <c r="K33" s="42">
        <v>-7765</v>
      </c>
      <c r="L33" s="42" t="s">
        <v>282</v>
      </c>
      <c r="M33" s="43" t="s">
        <v>124</v>
      </c>
      <c r="N33" s="43"/>
      <c r="O33" s="44" t="s">
        <v>202</v>
      </c>
      <c r="P33" s="44" t="s">
        <v>279</v>
      </c>
    </row>
    <row r="34" spans="1:16" ht="12.75" customHeight="1" thickBot="1">
      <c r="A34" s="10" t="str">
        <f t="shared" si="0"/>
        <v> BBS 40 </v>
      </c>
      <c r="B34" s="15" t="str">
        <f t="shared" si="1"/>
        <v>I</v>
      </c>
      <c r="C34" s="10">
        <f t="shared" si="2"/>
        <v>43811.27</v>
      </c>
      <c r="D34" s="12" t="str">
        <f t="shared" si="3"/>
        <v>vis</v>
      </c>
      <c r="E34" s="41">
        <f>VLOOKUP(C34,Active!C$21:E$968,3,FALSE)</f>
        <v>-689.99717589138618</v>
      </c>
      <c r="F34" s="15" t="s">
        <v>105</v>
      </c>
      <c r="G34" s="12" t="str">
        <f t="shared" si="4"/>
        <v>43811.270</v>
      </c>
      <c r="H34" s="10">
        <f t="shared" si="5"/>
        <v>-7718</v>
      </c>
      <c r="I34" s="42" t="s">
        <v>283</v>
      </c>
      <c r="J34" s="43" t="s">
        <v>284</v>
      </c>
      <c r="K34" s="42">
        <v>-7718</v>
      </c>
      <c r="L34" s="42" t="s">
        <v>285</v>
      </c>
      <c r="M34" s="43" t="s">
        <v>124</v>
      </c>
      <c r="N34" s="43"/>
      <c r="O34" s="44" t="s">
        <v>215</v>
      </c>
      <c r="P34" s="44" t="s">
        <v>286</v>
      </c>
    </row>
    <row r="35" spans="1:16" ht="12.75" customHeight="1" thickBot="1">
      <c r="A35" s="10" t="str">
        <f t="shared" si="0"/>
        <v> BBS 44 </v>
      </c>
      <c r="B35" s="15" t="str">
        <f t="shared" si="1"/>
        <v>I</v>
      </c>
      <c r="C35" s="10">
        <f t="shared" si="2"/>
        <v>44077.457999999999</v>
      </c>
      <c r="D35" s="12" t="str">
        <f t="shared" si="3"/>
        <v>vis</v>
      </c>
      <c r="E35" s="41">
        <f>VLOOKUP(C35,Active!C$21:E$968,3,FALSE)</f>
        <v>-502.99622468664256</v>
      </c>
      <c r="F35" s="15" t="s">
        <v>105</v>
      </c>
      <c r="G35" s="12" t="str">
        <f t="shared" si="4"/>
        <v>44077.458</v>
      </c>
      <c r="H35" s="10">
        <f t="shared" si="5"/>
        <v>-7531</v>
      </c>
      <c r="I35" s="42" t="s">
        <v>287</v>
      </c>
      <c r="J35" s="43" t="s">
        <v>288</v>
      </c>
      <c r="K35" s="42">
        <v>-7531</v>
      </c>
      <c r="L35" s="42" t="s">
        <v>285</v>
      </c>
      <c r="M35" s="43" t="s">
        <v>124</v>
      </c>
      <c r="N35" s="43"/>
      <c r="O35" s="44" t="s">
        <v>202</v>
      </c>
      <c r="P35" s="44" t="s">
        <v>289</v>
      </c>
    </row>
    <row r="36" spans="1:16" ht="12.75" customHeight="1" thickBot="1">
      <c r="A36" s="10" t="str">
        <f t="shared" si="0"/>
        <v> BBS 45 </v>
      </c>
      <c r="B36" s="15" t="str">
        <f t="shared" si="1"/>
        <v>I</v>
      </c>
      <c r="C36" s="10">
        <f t="shared" si="2"/>
        <v>44134.392999999996</v>
      </c>
      <c r="D36" s="12" t="str">
        <f t="shared" si="3"/>
        <v>vis</v>
      </c>
      <c r="E36" s="41">
        <f>VLOOKUP(C36,Active!C$21:E$968,3,FALSE)</f>
        <v>-462.9985570350521</v>
      </c>
      <c r="F36" s="15" t="s">
        <v>105</v>
      </c>
      <c r="G36" s="12" t="str">
        <f t="shared" si="4"/>
        <v>44134.393</v>
      </c>
      <c r="H36" s="10">
        <f t="shared" si="5"/>
        <v>-7491</v>
      </c>
      <c r="I36" s="42" t="s">
        <v>292</v>
      </c>
      <c r="J36" s="43" t="s">
        <v>293</v>
      </c>
      <c r="K36" s="42">
        <v>-7491</v>
      </c>
      <c r="L36" s="42" t="s">
        <v>251</v>
      </c>
      <c r="M36" s="43" t="s">
        <v>124</v>
      </c>
      <c r="N36" s="43"/>
      <c r="O36" s="44" t="s">
        <v>215</v>
      </c>
      <c r="P36" s="44" t="s">
        <v>294</v>
      </c>
    </row>
    <row r="37" spans="1:16" ht="12.75" customHeight="1" thickBot="1">
      <c r="A37" s="10" t="str">
        <f t="shared" si="0"/>
        <v> BBS 45 </v>
      </c>
      <c r="B37" s="15" t="str">
        <f t="shared" si="1"/>
        <v>I</v>
      </c>
      <c r="C37" s="10">
        <f t="shared" si="2"/>
        <v>44144.364000000001</v>
      </c>
      <c r="D37" s="12" t="str">
        <f t="shared" si="3"/>
        <v>vis</v>
      </c>
      <c r="E37" s="41">
        <f>VLOOKUP(C37,Active!C$21:E$968,3,FALSE)</f>
        <v>-455.99378415098732</v>
      </c>
      <c r="F37" s="15" t="s">
        <v>105</v>
      </c>
      <c r="G37" s="12" t="str">
        <f t="shared" si="4"/>
        <v>44144.364</v>
      </c>
      <c r="H37" s="10">
        <f t="shared" si="5"/>
        <v>-7484</v>
      </c>
      <c r="I37" s="42" t="s">
        <v>295</v>
      </c>
      <c r="J37" s="43" t="s">
        <v>296</v>
      </c>
      <c r="K37" s="42">
        <v>-7484</v>
      </c>
      <c r="L37" s="42" t="s">
        <v>297</v>
      </c>
      <c r="M37" s="43" t="s">
        <v>124</v>
      </c>
      <c r="N37" s="43"/>
      <c r="O37" s="44" t="s">
        <v>215</v>
      </c>
      <c r="P37" s="44" t="s">
        <v>294</v>
      </c>
    </row>
    <row r="38" spans="1:16" ht="12.75" customHeight="1" thickBot="1">
      <c r="A38" s="10" t="str">
        <f t="shared" si="0"/>
        <v> BBS 45 </v>
      </c>
      <c r="B38" s="15" t="str">
        <f t="shared" si="1"/>
        <v>I</v>
      </c>
      <c r="C38" s="10">
        <f t="shared" si="2"/>
        <v>44164.288999999997</v>
      </c>
      <c r="D38" s="12" t="str">
        <f t="shared" si="3"/>
        <v>vis</v>
      </c>
      <c r="E38" s="41">
        <f>VLOOKUP(C38,Active!C$21:E$968,3,FALSE)</f>
        <v>-441.99618113073973</v>
      </c>
      <c r="F38" s="15" t="s">
        <v>105</v>
      </c>
      <c r="G38" s="12" t="str">
        <f t="shared" si="4"/>
        <v>44164.289</v>
      </c>
      <c r="H38" s="10">
        <f t="shared" si="5"/>
        <v>-7470</v>
      </c>
      <c r="I38" s="42" t="s">
        <v>298</v>
      </c>
      <c r="J38" s="43" t="s">
        <v>299</v>
      </c>
      <c r="K38" s="42">
        <v>-7470</v>
      </c>
      <c r="L38" s="42" t="s">
        <v>285</v>
      </c>
      <c r="M38" s="43" t="s">
        <v>124</v>
      </c>
      <c r="N38" s="43"/>
      <c r="O38" s="44" t="s">
        <v>202</v>
      </c>
      <c r="P38" s="44" t="s">
        <v>294</v>
      </c>
    </row>
    <row r="39" spans="1:16" ht="12.75" customHeight="1" thickBot="1">
      <c r="A39" s="10" t="str">
        <f t="shared" si="0"/>
        <v> BBS 46 </v>
      </c>
      <c r="B39" s="15" t="str">
        <f t="shared" si="1"/>
        <v>I</v>
      </c>
      <c r="C39" s="10">
        <f t="shared" si="2"/>
        <v>44211.245999999999</v>
      </c>
      <c r="D39" s="12" t="str">
        <f t="shared" si="3"/>
        <v>vis</v>
      </c>
      <c r="E39" s="41">
        <f>VLOOKUP(C39,Active!C$21:E$968,3,FALSE)</f>
        <v>-409.00820396527217</v>
      </c>
      <c r="F39" s="15" t="s">
        <v>105</v>
      </c>
      <c r="G39" s="12" t="str">
        <f t="shared" si="4"/>
        <v>44211.246</v>
      </c>
      <c r="H39" s="10">
        <f t="shared" si="5"/>
        <v>-7437</v>
      </c>
      <c r="I39" s="42" t="s">
        <v>300</v>
      </c>
      <c r="J39" s="43" t="s">
        <v>301</v>
      </c>
      <c r="K39" s="42">
        <v>-7437</v>
      </c>
      <c r="L39" s="42" t="s">
        <v>302</v>
      </c>
      <c r="M39" s="43" t="s">
        <v>124</v>
      </c>
      <c r="N39" s="43"/>
      <c r="O39" s="44" t="s">
        <v>202</v>
      </c>
      <c r="P39" s="44" t="s">
        <v>303</v>
      </c>
    </row>
    <row r="40" spans="1:16" ht="12.75" customHeight="1" thickBot="1">
      <c r="A40" s="10" t="str">
        <f t="shared" si="0"/>
        <v> BBS 50 </v>
      </c>
      <c r="B40" s="15" t="str">
        <f t="shared" si="1"/>
        <v>I</v>
      </c>
      <c r="C40" s="10">
        <f t="shared" si="2"/>
        <v>44487.404999999999</v>
      </c>
      <c r="D40" s="12" t="str">
        <f t="shared" si="3"/>
        <v>vis</v>
      </c>
      <c r="E40" s="41">
        <f>VLOOKUP(C40,Active!C$21:E$968,3,FALSE)</f>
        <v>-215.00247987646893</v>
      </c>
      <c r="F40" s="15" t="s">
        <v>105</v>
      </c>
      <c r="G40" s="12" t="str">
        <f t="shared" si="4"/>
        <v>44487.405</v>
      </c>
      <c r="H40" s="10">
        <f t="shared" si="5"/>
        <v>-7243</v>
      </c>
      <c r="I40" s="42" t="s">
        <v>304</v>
      </c>
      <c r="J40" s="43" t="s">
        <v>305</v>
      </c>
      <c r="K40" s="42">
        <v>-7243</v>
      </c>
      <c r="L40" s="42" t="s">
        <v>306</v>
      </c>
      <c r="M40" s="43" t="s">
        <v>124</v>
      </c>
      <c r="N40" s="43"/>
      <c r="O40" s="44" t="s">
        <v>215</v>
      </c>
      <c r="P40" s="44" t="s">
        <v>307</v>
      </c>
    </row>
    <row r="41" spans="1:16" ht="12.75" customHeight="1" thickBot="1">
      <c r="A41" s="10" t="str">
        <f t="shared" si="0"/>
        <v> BBS 50 </v>
      </c>
      <c r="B41" s="15" t="str">
        <f t="shared" si="1"/>
        <v>I</v>
      </c>
      <c r="C41" s="10">
        <f t="shared" si="2"/>
        <v>44497.375</v>
      </c>
      <c r="D41" s="12" t="str">
        <f t="shared" si="3"/>
        <v>vis</v>
      </c>
      <c r="E41" s="41">
        <f>VLOOKUP(C41,Active!C$21:E$968,3,FALSE)</f>
        <v>-207.99840950698757</v>
      </c>
      <c r="F41" s="15" t="s">
        <v>105</v>
      </c>
      <c r="G41" s="12" t="str">
        <f t="shared" si="4"/>
        <v>44497.375</v>
      </c>
      <c r="H41" s="10">
        <f t="shared" si="5"/>
        <v>-7236</v>
      </c>
      <c r="I41" s="42" t="s">
        <v>308</v>
      </c>
      <c r="J41" s="43" t="s">
        <v>309</v>
      </c>
      <c r="K41" s="42">
        <v>-7236</v>
      </c>
      <c r="L41" s="42" t="s">
        <v>282</v>
      </c>
      <c r="M41" s="43" t="s">
        <v>124</v>
      </c>
      <c r="N41" s="43"/>
      <c r="O41" s="44" t="s">
        <v>202</v>
      </c>
      <c r="P41" s="44" t="s">
        <v>307</v>
      </c>
    </row>
    <row r="42" spans="1:16" ht="12.75" customHeight="1" thickBot="1">
      <c r="A42" s="10" t="str">
        <f t="shared" si="0"/>
        <v> BBS 50 </v>
      </c>
      <c r="B42" s="15" t="str">
        <f t="shared" si="1"/>
        <v>I</v>
      </c>
      <c r="C42" s="10">
        <f t="shared" si="2"/>
        <v>44507.362999999998</v>
      </c>
      <c r="D42" s="12" t="str">
        <f t="shared" si="3"/>
        <v>vis</v>
      </c>
      <c r="E42" s="41">
        <f>VLOOKUP(C42,Active!C$21:E$968,3,FALSE)</f>
        <v>-200.98169387505635</v>
      </c>
      <c r="F42" s="15" t="s">
        <v>105</v>
      </c>
      <c r="G42" s="12" t="str">
        <f t="shared" si="4"/>
        <v>44507.363</v>
      </c>
      <c r="H42" s="10">
        <f t="shared" si="5"/>
        <v>-7229</v>
      </c>
      <c r="I42" s="42" t="s">
        <v>310</v>
      </c>
      <c r="J42" s="43" t="s">
        <v>311</v>
      </c>
      <c r="K42" s="42">
        <v>-7229</v>
      </c>
      <c r="L42" s="42" t="s">
        <v>312</v>
      </c>
      <c r="M42" s="43" t="s">
        <v>124</v>
      </c>
      <c r="N42" s="43"/>
      <c r="O42" s="44" t="s">
        <v>202</v>
      </c>
      <c r="P42" s="44" t="s">
        <v>307</v>
      </c>
    </row>
    <row r="43" spans="1:16" ht="12.75" customHeight="1" thickBot="1">
      <c r="A43" s="10" t="str">
        <f t="shared" ref="A43:A74" si="6">P43</f>
        <v> BBS 56 </v>
      </c>
      <c r="B43" s="15" t="str">
        <f t="shared" ref="B43:B74" si="7">IF(H43=INT(H43),"I","II")</f>
        <v>I</v>
      </c>
      <c r="C43" s="10">
        <f t="shared" ref="C43:C74" si="8">1*G43</f>
        <v>44793.457999999999</v>
      </c>
      <c r="D43" s="12" t="str">
        <f t="shared" ref="D43:D74" si="9">VLOOKUP(F43,I$1:J$5,2,FALSE)</f>
        <v>vis</v>
      </c>
      <c r="E43" s="41">
        <f>VLOOKUP(C43,Active!C$21:E$968,3,FALSE)</f>
        <v>4.21508748499946E-3</v>
      </c>
      <c r="F43" s="15" t="s">
        <v>105</v>
      </c>
      <c r="G43" s="12" t="str">
        <f t="shared" ref="G43:G74" si="10">MID(I43,3,LEN(I43)-3)</f>
        <v>44793.458</v>
      </c>
      <c r="H43" s="10">
        <f t="shared" ref="H43:H74" si="11">1*K43</f>
        <v>-7028</v>
      </c>
      <c r="I43" s="42" t="s">
        <v>313</v>
      </c>
      <c r="J43" s="43" t="s">
        <v>314</v>
      </c>
      <c r="K43" s="42">
        <v>-7028</v>
      </c>
      <c r="L43" s="42" t="s">
        <v>267</v>
      </c>
      <c r="M43" s="43" t="s">
        <v>124</v>
      </c>
      <c r="N43" s="43"/>
      <c r="O43" s="44" t="s">
        <v>202</v>
      </c>
      <c r="P43" s="44" t="s">
        <v>315</v>
      </c>
    </row>
    <row r="44" spans="1:16" ht="12.75" customHeight="1" thickBot="1">
      <c r="A44" s="10" t="str">
        <f t="shared" si="6"/>
        <v> BBS 56 </v>
      </c>
      <c r="B44" s="15" t="str">
        <f t="shared" si="7"/>
        <v>I</v>
      </c>
      <c r="C44" s="10">
        <f t="shared" si="8"/>
        <v>44793.457999999999</v>
      </c>
      <c r="D44" s="12" t="str">
        <f t="shared" si="9"/>
        <v>vis</v>
      </c>
      <c r="E44" s="41">
        <f>VLOOKUP(C44,Active!C$21:E$968,3,FALSE)</f>
        <v>4.21508748499946E-3</v>
      </c>
      <c r="F44" s="15" t="s">
        <v>105</v>
      </c>
      <c r="G44" s="12" t="str">
        <f t="shared" si="10"/>
        <v>44793.458</v>
      </c>
      <c r="H44" s="10">
        <f t="shared" si="11"/>
        <v>-7028</v>
      </c>
      <c r="I44" s="42" t="s">
        <v>313</v>
      </c>
      <c r="J44" s="43" t="s">
        <v>314</v>
      </c>
      <c r="K44" s="42">
        <v>-7028</v>
      </c>
      <c r="L44" s="42" t="s">
        <v>267</v>
      </c>
      <c r="M44" s="43" t="s">
        <v>124</v>
      </c>
      <c r="N44" s="43"/>
      <c r="O44" s="44" t="s">
        <v>215</v>
      </c>
      <c r="P44" s="44" t="s">
        <v>315</v>
      </c>
    </row>
    <row r="45" spans="1:16" ht="12.75" customHeight="1" thickBot="1">
      <c r="A45" s="10" t="str">
        <f t="shared" si="6"/>
        <v> BBS 57 </v>
      </c>
      <c r="B45" s="15" t="str">
        <f t="shared" si="7"/>
        <v>I</v>
      </c>
      <c r="C45" s="10">
        <f t="shared" si="8"/>
        <v>44907.322</v>
      </c>
      <c r="D45" s="12" t="str">
        <f t="shared" si="9"/>
        <v>vis</v>
      </c>
      <c r="E45" s="41">
        <f>VLOOKUP(C45,Active!C$21:E$968,3,FALSE)</f>
        <v>79.995335303186067</v>
      </c>
      <c r="F45" s="15" t="s">
        <v>105</v>
      </c>
      <c r="G45" s="12" t="str">
        <f t="shared" si="10"/>
        <v>44907.322</v>
      </c>
      <c r="H45" s="10">
        <f t="shared" si="11"/>
        <v>-6948</v>
      </c>
      <c r="I45" s="42" t="s">
        <v>316</v>
      </c>
      <c r="J45" s="43" t="s">
        <v>317</v>
      </c>
      <c r="K45" s="42">
        <v>-6948</v>
      </c>
      <c r="L45" s="42" t="s">
        <v>318</v>
      </c>
      <c r="M45" s="43" t="s">
        <v>124</v>
      </c>
      <c r="N45" s="43"/>
      <c r="O45" s="44" t="s">
        <v>319</v>
      </c>
      <c r="P45" s="44" t="s">
        <v>320</v>
      </c>
    </row>
    <row r="46" spans="1:16" ht="12.75" customHeight="1" thickBot="1">
      <c r="A46" s="10" t="str">
        <f t="shared" si="6"/>
        <v> BBS 58 </v>
      </c>
      <c r="B46" s="15" t="str">
        <f t="shared" si="7"/>
        <v>I</v>
      </c>
      <c r="C46" s="10">
        <f t="shared" si="8"/>
        <v>44927.252</v>
      </c>
      <c r="D46" s="12" t="str">
        <f t="shared" si="9"/>
        <v>vis</v>
      </c>
      <c r="E46" s="41">
        <f>VLOOKUP(C46,Active!C$21:E$968,3,FALSE)</f>
        <v>93.996450896340406</v>
      </c>
      <c r="F46" s="15" t="s">
        <v>105</v>
      </c>
      <c r="G46" s="12" t="str">
        <f t="shared" si="10"/>
        <v>44927.252</v>
      </c>
      <c r="H46" s="10">
        <f t="shared" si="11"/>
        <v>-6934</v>
      </c>
      <c r="I46" s="42" t="s">
        <v>321</v>
      </c>
      <c r="J46" s="43" t="s">
        <v>322</v>
      </c>
      <c r="K46" s="42">
        <v>-6934</v>
      </c>
      <c r="L46" s="42" t="s">
        <v>323</v>
      </c>
      <c r="M46" s="43" t="s">
        <v>124</v>
      </c>
      <c r="N46" s="43"/>
      <c r="O46" s="44" t="s">
        <v>319</v>
      </c>
      <c r="P46" s="44" t="s">
        <v>324</v>
      </c>
    </row>
    <row r="47" spans="1:16" ht="12.75" customHeight="1" thickBot="1">
      <c r="A47" s="10" t="str">
        <f t="shared" si="6"/>
        <v> BBS 60 </v>
      </c>
      <c r="B47" s="15" t="str">
        <f t="shared" si="7"/>
        <v>I</v>
      </c>
      <c r="C47" s="10">
        <f t="shared" si="8"/>
        <v>45116.574000000001</v>
      </c>
      <c r="D47" s="12" t="str">
        <f t="shared" si="9"/>
        <v>vis</v>
      </c>
      <c r="E47" s="41">
        <f>VLOOKUP(C47,Active!C$21:E$968,3,FALSE)</f>
        <v>226.99791634175583</v>
      </c>
      <c r="F47" s="15" t="s">
        <v>105</v>
      </c>
      <c r="G47" s="12" t="str">
        <f t="shared" si="10"/>
        <v>45116.574</v>
      </c>
      <c r="H47" s="10">
        <f t="shared" si="11"/>
        <v>-6801</v>
      </c>
      <c r="I47" s="42" t="s">
        <v>325</v>
      </c>
      <c r="J47" s="43" t="s">
        <v>326</v>
      </c>
      <c r="K47" s="42">
        <v>-6801</v>
      </c>
      <c r="L47" s="42" t="s">
        <v>327</v>
      </c>
      <c r="M47" s="43" t="s">
        <v>124</v>
      </c>
      <c r="N47" s="43"/>
      <c r="O47" s="44" t="s">
        <v>202</v>
      </c>
      <c r="P47" s="44" t="s">
        <v>328</v>
      </c>
    </row>
    <row r="48" spans="1:16" ht="12.75" customHeight="1" thickBot="1">
      <c r="A48" s="10" t="str">
        <f t="shared" si="6"/>
        <v> BBS 62 </v>
      </c>
      <c r="B48" s="15" t="str">
        <f t="shared" si="7"/>
        <v>I</v>
      </c>
      <c r="C48" s="10">
        <f t="shared" si="8"/>
        <v>45193.430999999997</v>
      </c>
      <c r="D48" s="12" t="str">
        <f t="shared" si="9"/>
        <v>vis</v>
      </c>
      <c r="E48" s="41">
        <f>VLOOKUP(C48,Active!C$21:E$968,3,FALSE)</f>
        <v>280.99107946985396</v>
      </c>
      <c r="F48" s="15" t="str">
        <f>LEFT(M48,1)</f>
        <v>V</v>
      </c>
      <c r="G48" s="12" t="str">
        <f t="shared" si="10"/>
        <v>45193.431</v>
      </c>
      <c r="H48" s="10">
        <f t="shared" si="11"/>
        <v>-6747</v>
      </c>
      <c r="I48" s="42" t="s">
        <v>329</v>
      </c>
      <c r="J48" s="43" t="s">
        <v>330</v>
      </c>
      <c r="K48" s="42">
        <v>-6747</v>
      </c>
      <c r="L48" s="42" t="s">
        <v>331</v>
      </c>
      <c r="M48" s="43" t="s">
        <v>124</v>
      </c>
      <c r="N48" s="43"/>
      <c r="O48" s="44" t="s">
        <v>202</v>
      </c>
      <c r="P48" s="44" t="s">
        <v>332</v>
      </c>
    </row>
    <row r="49" spans="1:16" ht="12.75" customHeight="1" thickBot="1">
      <c r="A49" s="10" t="str">
        <f t="shared" si="6"/>
        <v> BBS 62 </v>
      </c>
      <c r="B49" s="15" t="str">
        <f t="shared" si="7"/>
        <v>I</v>
      </c>
      <c r="C49" s="10">
        <f t="shared" si="8"/>
        <v>45193.440000000002</v>
      </c>
      <c r="D49" s="12" t="str">
        <f t="shared" si="9"/>
        <v>vis</v>
      </c>
      <c r="E49" s="41">
        <f>VLOOKUP(C49,Active!C$21:E$968,3,FALSE)</f>
        <v>280.99740210108405</v>
      </c>
      <c r="F49" s="15" t="str">
        <f>LEFT(M49,1)</f>
        <v>V</v>
      </c>
      <c r="G49" s="12" t="str">
        <f t="shared" si="10"/>
        <v>45193.440</v>
      </c>
      <c r="H49" s="10">
        <f t="shared" si="11"/>
        <v>-6747</v>
      </c>
      <c r="I49" s="42" t="s">
        <v>333</v>
      </c>
      <c r="J49" s="43" t="s">
        <v>334</v>
      </c>
      <c r="K49" s="42">
        <v>-6747</v>
      </c>
      <c r="L49" s="42" t="s">
        <v>335</v>
      </c>
      <c r="M49" s="43" t="s">
        <v>124</v>
      </c>
      <c r="N49" s="43"/>
      <c r="O49" s="44" t="s">
        <v>336</v>
      </c>
      <c r="P49" s="44" t="s">
        <v>332</v>
      </c>
    </row>
    <row r="50" spans="1:16" ht="12.75" customHeight="1" thickBot="1">
      <c r="A50" s="10" t="str">
        <f t="shared" si="6"/>
        <v> BBS 62 </v>
      </c>
      <c r="B50" s="15" t="str">
        <f t="shared" si="7"/>
        <v>I</v>
      </c>
      <c r="C50" s="10">
        <f t="shared" si="8"/>
        <v>45203.398999999998</v>
      </c>
      <c r="D50" s="12" t="str">
        <f t="shared" si="9"/>
        <v>vis</v>
      </c>
      <c r="E50" s="41">
        <f>VLOOKUP(C50,Active!C$21:E$968,3,FALSE)</f>
        <v>287.99374481017367</v>
      </c>
      <c r="F50" s="15" t="str">
        <f>LEFT(M50,1)</f>
        <v>V</v>
      </c>
      <c r="G50" s="12" t="str">
        <f t="shared" si="10"/>
        <v>45203.399</v>
      </c>
      <c r="H50" s="10">
        <f t="shared" si="11"/>
        <v>-6740</v>
      </c>
      <c r="I50" s="42" t="s">
        <v>337</v>
      </c>
      <c r="J50" s="43" t="s">
        <v>338</v>
      </c>
      <c r="K50" s="42">
        <v>-6740</v>
      </c>
      <c r="L50" s="42" t="s">
        <v>302</v>
      </c>
      <c r="M50" s="43" t="s">
        <v>124</v>
      </c>
      <c r="N50" s="43"/>
      <c r="O50" s="44" t="s">
        <v>336</v>
      </c>
      <c r="P50" s="44" t="s">
        <v>332</v>
      </c>
    </row>
    <row r="51" spans="1:16" ht="12.75" customHeight="1" thickBot="1">
      <c r="A51" s="10" t="str">
        <f t="shared" si="6"/>
        <v> BBS 62 </v>
      </c>
      <c r="B51" s="15" t="str">
        <f t="shared" si="7"/>
        <v>I</v>
      </c>
      <c r="C51" s="10">
        <f t="shared" si="8"/>
        <v>45203.404000000002</v>
      </c>
      <c r="D51" s="12" t="str">
        <f t="shared" si="9"/>
        <v>vis</v>
      </c>
      <c r="E51" s="41">
        <f>VLOOKUP(C51,Active!C$21:E$968,3,FALSE)</f>
        <v>287.99725738308035</v>
      </c>
      <c r="F51" s="15" t="str">
        <f>LEFT(M51,1)</f>
        <v>V</v>
      </c>
      <c r="G51" s="12" t="str">
        <f t="shared" si="10"/>
        <v>45203.404</v>
      </c>
      <c r="H51" s="10">
        <f t="shared" si="11"/>
        <v>-6740</v>
      </c>
      <c r="I51" s="42" t="s">
        <v>339</v>
      </c>
      <c r="J51" s="43" t="s">
        <v>340</v>
      </c>
      <c r="K51" s="42">
        <v>-6740</v>
      </c>
      <c r="L51" s="42" t="s">
        <v>335</v>
      </c>
      <c r="M51" s="43" t="s">
        <v>124</v>
      </c>
      <c r="N51" s="43"/>
      <c r="O51" s="44" t="s">
        <v>215</v>
      </c>
      <c r="P51" s="44" t="s">
        <v>332</v>
      </c>
    </row>
    <row r="52" spans="1:16" ht="12.75" customHeight="1" thickBot="1">
      <c r="A52" s="10" t="str">
        <f t="shared" si="6"/>
        <v> BBS 62 </v>
      </c>
      <c r="B52" s="15" t="str">
        <f t="shared" si="7"/>
        <v>I</v>
      </c>
      <c r="C52" s="10">
        <f t="shared" si="8"/>
        <v>45223.324999999997</v>
      </c>
      <c r="D52" s="12" t="str">
        <f t="shared" si="9"/>
        <v>vis</v>
      </c>
      <c r="E52" s="41">
        <f>VLOOKUP(C52,Active!C$21:E$968,3,FALSE)</f>
        <v>301.99205034500466</v>
      </c>
      <c r="F52" s="15" t="str">
        <f>LEFT(M52,1)</f>
        <v>V</v>
      </c>
      <c r="G52" s="12" t="str">
        <f t="shared" si="10"/>
        <v>45223.325</v>
      </c>
      <c r="H52" s="10">
        <f t="shared" si="11"/>
        <v>-6726</v>
      </c>
      <c r="I52" s="42" t="s">
        <v>341</v>
      </c>
      <c r="J52" s="43" t="s">
        <v>342</v>
      </c>
      <c r="K52" s="42">
        <v>-6726</v>
      </c>
      <c r="L52" s="42" t="s">
        <v>343</v>
      </c>
      <c r="M52" s="43" t="s">
        <v>124</v>
      </c>
      <c r="N52" s="43"/>
      <c r="O52" s="44" t="s">
        <v>202</v>
      </c>
      <c r="P52" s="44" t="s">
        <v>332</v>
      </c>
    </row>
    <row r="53" spans="1:16" ht="12.75" customHeight="1" thickBot="1">
      <c r="A53" s="10" t="str">
        <f t="shared" si="6"/>
        <v> BBS 67 </v>
      </c>
      <c r="B53" s="15" t="str">
        <f t="shared" si="7"/>
        <v>I</v>
      </c>
      <c r="C53" s="10">
        <f t="shared" si="8"/>
        <v>45526.527999999998</v>
      </c>
      <c r="D53" s="12" t="str">
        <f t="shared" si="9"/>
        <v>vis</v>
      </c>
      <c r="E53" s="41">
        <f>VLOOKUP(C53,Active!C$21:E$968,3,FALSE)</f>
        <v>514.99657875399271</v>
      </c>
      <c r="F53" s="15" t="s">
        <v>105</v>
      </c>
      <c r="G53" s="12" t="str">
        <f t="shared" si="10"/>
        <v>45526.528</v>
      </c>
      <c r="H53" s="10">
        <f t="shared" si="11"/>
        <v>-6513</v>
      </c>
      <c r="I53" s="42" t="s">
        <v>347</v>
      </c>
      <c r="J53" s="43" t="s">
        <v>348</v>
      </c>
      <c r="K53" s="42">
        <v>-6513</v>
      </c>
      <c r="L53" s="42" t="s">
        <v>318</v>
      </c>
      <c r="M53" s="43" t="s">
        <v>124</v>
      </c>
      <c r="N53" s="43"/>
      <c r="O53" s="44" t="s">
        <v>336</v>
      </c>
      <c r="P53" s="44" t="s">
        <v>349</v>
      </c>
    </row>
    <row r="54" spans="1:16" ht="12.75" customHeight="1" thickBot="1">
      <c r="A54" s="10" t="str">
        <f t="shared" si="6"/>
        <v> BBS 69 </v>
      </c>
      <c r="B54" s="15" t="str">
        <f t="shared" si="7"/>
        <v>I</v>
      </c>
      <c r="C54" s="10">
        <f t="shared" si="8"/>
        <v>45613.345999999998</v>
      </c>
      <c r="D54" s="12" t="str">
        <f t="shared" si="9"/>
        <v>vis</v>
      </c>
      <c r="E54" s="41">
        <f>VLOOKUP(C54,Active!C$21:E$968,3,FALSE)</f>
        <v>575.98748962034733</v>
      </c>
      <c r="F54" s="15" t="s">
        <v>105</v>
      </c>
      <c r="G54" s="12" t="str">
        <f t="shared" si="10"/>
        <v>45613.346</v>
      </c>
      <c r="H54" s="10">
        <f t="shared" si="11"/>
        <v>-6452</v>
      </c>
      <c r="I54" s="42" t="s">
        <v>350</v>
      </c>
      <c r="J54" s="43" t="s">
        <v>351</v>
      </c>
      <c r="K54" s="42">
        <v>-6452</v>
      </c>
      <c r="L54" s="42" t="s">
        <v>352</v>
      </c>
      <c r="M54" s="43" t="s">
        <v>124</v>
      </c>
      <c r="N54" s="43"/>
      <c r="O54" s="44" t="s">
        <v>319</v>
      </c>
      <c r="P54" s="44" t="s">
        <v>353</v>
      </c>
    </row>
    <row r="55" spans="1:16" ht="12.75" customHeight="1" thickBot="1">
      <c r="A55" s="10" t="str">
        <f t="shared" si="6"/>
        <v> BBS 69 </v>
      </c>
      <c r="B55" s="15" t="str">
        <f t="shared" si="7"/>
        <v>I</v>
      </c>
      <c r="C55" s="10">
        <f t="shared" si="8"/>
        <v>45613.364000000001</v>
      </c>
      <c r="D55" s="12" t="str">
        <f t="shared" si="9"/>
        <v>vis</v>
      </c>
      <c r="E55" s="41">
        <f>VLOOKUP(C55,Active!C$21:E$968,3,FALSE)</f>
        <v>576.00013488280229</v>
      </c>
      <c r="F55" s="15" t="s">
        <v>105</v>
      </c>
      <c r="G55" s="12" t="str">
        <f t="shared" si="10"/>
        <v>45613.364</v>
      </c>
      <c r="H55" s="10">
        <f t="shared" si="11"/>
        <v>-6452</v>
      </c>
      <c r="I55" s="42" t="s">
        <v>354</v>
      </c>
      <c r="J55" s="43" t="s">
        <v>355</v>
      </c>
      <c r="K55" s="42">
        <v>-6452</v>
      </c>
      <c r="L55" s="42" t="s">
        <v>306</v>
      </c>
      <c r="M55" s="43" t="s">
        <v>124</v>
      </c>
      <c r="N55" s="43"/>
      <c r="O55" s="44" t="s">
        <v>215</v>
      </c>
      <c r="P55" s="44" t="s">
        <v>353</v>
      </c>
    </row>
    <row r="56" spans="1:16" ht="12.75" customHeight="1" thickBot="1">
      <c r="A56" s="10" t="str">
        <f t="shared" si="6"/>
        <v> BBS 73 </v>
      </c>
      <c r="B56" s="15" t="str">
        <f t="shared" si="7"/>
        <v>I</v>
      </c>
      <c r="C56" s="10">
        <f t="shared" si="8"/>
        <v>45902.326999999997</v>
      </c>
      <c r="D56" s="12" t="str">
        <f t="shared" si="9"/>
        <v>vis</v>
      </c>
      <c r="E56" s="41">
        <f>VLOOKUP(C56,Active!C$21:E$968,3,FALSE)</f>
        <v>779.00085566275936</v>
      </c>
      <c r="F56" s="15" t="s">
        <v>105</v>
      </c>
      <c r="G56" s="12" t="str">
        <f t="shared" si="10"/>
        <v>45902.327</v>
      </c>
      <c r="H56" s="10">
        <f t="shared" si="11"/>
        <v>-6249</v>
      </c>
      <c r="I56" s="42" t="s">
        <v>359</v>
      </c>
      <c r="J56" s="43" t="s">
        <v>360</v>
      </c>
      <c r="K56" s="42">
        <v>-6249</v>
      </c>
      <c r="L56" s="42" t="s">
        <v>361</v>
      </c>
      <c r="M56" s="43" t="s">
        <v>124</v>
      </c>
      <c r="N56" s="43"/>
      <c r="O56" s="44" t="s">
        <v>202</v>
      </c>
      <c r="P56" s="44" t="s">
        <v>362</v>
      </c>
    </row>
    <row r="57" spans="1:16" ht="12.75" customHeight="1" thickBot="1">
      <c r="A57" s="10" t="str">
        <f t="shared" si="6"/>
        <v> BBS 73 </v>
      </c>
      <c r="B57" s="15" t="str">
        <f t="shared" si="7"/>
        <v>I</v>
      </c>
      <c r="C57" s="10">
        <f t="shared" si="8"/>
        <v>45909.442000000003</v>
      </c>
      <c r="D57" s="12" t="str">
        <f t="shared" si="9"/>
        <v>vis</v>
      </c>
      <c r="E57" s="41">
        <f>VLOOKUP(C57,Active!C$21:E$968,3,FALSE)</f>
        <v>783.99924690437319</v>
      </c>
      <c r="F57" s="15" t="s">
        <v>105</v>
      </c>
      <c r="G57" s="12" t="str">
        <f t="shared" si="10"/>
        <v>45909.442</v>
      </c>
      <c r="H57" s="10">
        <f t="shared" si="11"/>
        <v>-6244</v>
      </c>
      <c r="I57" s="42" t="s">
        <v>363</v>
      </c>
      <c r="J57" s="43" t="s">
        <v>364</v>
      </c>
      <c r="K57" s="42">
        <v>-6244</v>
      </c>
      <c r="L57" s="42" t="s">
        <v>335</v>
      </c>
      <c r="M57" s="43" t="s">
        <v>124</v>
      </c>
      <c r="N57" s="43"/>
      <c r="O57" s="44" t="s">
        <v>202</v>
      </c>
      <c r="P57" s="44" t="s">
        <v>362</v>
      </c>
    </row>
    <row r="58" spans="1:16" ht="12.75" customHeight="1" thickBot="1">
      <c r="A58" s="10" t="str">
        <f t="shared" si="6"/>
        <v> BBS 74 </v>
      </c>
      <c r="B58" s="15" t="str">
        <f t="shared" si="7"/>
        <v>I</v>
      </c>
      <c r="C58" s="10">
        <f t="shared" si="8"/>
        <v>45946.425000000003</v>
      </c>
      <c r="D58" s="12" t="str">
        <f t="shared" si="9"/>
        <v>vis</v>
      </c>
      <c r="E58" s="41">
        <f>VLOOKUP(C58,Active!C$21:E$968,3,FALSE)</f>
        <v>809.98034364203613</v>
      </c>
      <c r="F58" s="15" t="s">
        <v>105</v>
      </c>
      <c r="G58" s="12" t="str">
        <f t="shared" si="10"/>
        <v>45946.425</v>
      </c>
      <c r="H58" s="10">
        <f t="shared" si="11"/>
        <v>-6218</v>
      </c>
      <c r="I58" s="42" t="s">
        <v>365</v>
      </c>
      <c r="J58" s="43" t="s">
        <v>366</v>
      </c>
      <c r="K58" s="42">
        <v>-6218</v>
      </c>
      <c r="L58" s="42" t="s">
        <v>107</v>
      </c>
      <c r="M58" s="43" t="s">
        <v>124</v>
      </c>
      <c r="N58" s="43"/>
      <c r="O58" s="44" t="s">
        <v>336</v>
      </c>
      <c r="P58" s="44" t="s">
        <v>367</v>
      </c>
    </row>
    <row r="59" spans="1:16" ht="12.75" customHeight="1" thickBot="1">
      <c r="A59" s="10" t="str">
        <f t="shared" si="6"/>
        <v> BBS 74 </v>
      </c>
      <c r="B59" s="15" t="str">
        <f t="shared" si="7"/>
        <v>I</v>
      </c>
      <c r="C59" s="10">
        <f t="shared" si="8"/>
        <v>45946.438000000002</v>
      </c>
      <c r="D59" s="12" t="str">
        <f t="shared" si="9"/>
        <v>vis</v>
      </c>
      <c r="E59" s="41">
        <f>VLOOKUP(C59,Active!C$21:E$968,3,FALSE)</f>
        <v>809.98947633158446</v>
      </c>
      <c r="F59" s="15" t="s">
        <v>105</v>
      </c>
      <c r="G59" s="12" t="str">
        <f t="shared" si="10"/>
        <v>45946.438</v>
      </c>
      <c r="H59" s="10">
        <f t="shared" si="11"/>
        <v>-6218</v>
      </c>
      <c r="I59" s="42" t="s">
        <v>368</v>
      </c>
      <c r="J59" s="43" t="s">
        <v>369</v>
      </c>
      <c r="K59" s="42">
        <v>-6218</v>
      </c>
      <c r="L59" s="42" t="s">
        <v>370</v>
      </c>
      <c r="M59" s="43" t="s">
        <v>124</v>
      </c>
      <c r="N59" s="43"/>
      <c r="O59" s="44" t="s">
        <v>215</v>
      </c>
      <c r="P59" s="44" t="s">
        <v>367</v>
      </c>
    </row>
    <row r="60" spans="1:16" ht="12.75" customHeight="1" thickBot="1">
      <c r="A60" s="10" t="str">
        <f t="shared" si="6"/>
        <v> BBS 78 </v>
      </c>
      <c r="B60" s="15" t="str">
        <f t="shared" si="7"/>
        <v>I</v>
      </c>
      <c r="C60" s="10">
        <f t="shared" si="8"/>
        <v>46299.455000000002</v>
      </c>
      <c r="D60" s="12" t="str">
        <f t="shared" si="9"/>
        <v>vis</v>
      </c>
      <c r="E60" s="41">
        <f>VLOOKUP(C60,Active!C$21:E$968,3,FALSE)</f>
        <v>1057.9890660630692</v>
      </c>
      <c r="F60" s="15" t="s">
        <v>105</v>
      </c>
      <c r="G60" s="12" t="str">
        <f t="shared" si="10"/>
        <v>46299.455</v>
      </c>
      <c r="H60" s="10">
        <f t="shared" si="11"/>
        <v>-5970</v>
      </c>
      <c r="I60" s="42" t="s">
        <v>371</v>
      </c>
      <c r="J60" s="43" t="s">
        <v>372</v>
      </c>
      <c r="K60" s="42">
        <v>-5970</v>
      </c>
      <c r="L60" s="42" t="s">
        <v>373</v>
      </c>
      <c r="M60" s="43" t="s">
        <v>124</v>
      </c>
      <c r="N60" s="43"/>
      <c r="O60" s="44" t="s">
        <v>215</v>
      </c>
      <c r="P60" s="44" t="s">
        <v>374</v>
      </c>
    </row>
    <row r="61" spans="1:16" ht="12.75" customHeight="1" thickBot="1">
      <c r="A61" s="10" t="str">
        <f t="shared" si="6"/>
        <v> BBS 78 </v>
      </c>
      <c r="B61" s="15" t="str">
        <f t="shared" si="7"/>
        <v>I</v>
      </c>
      <c r="C61" s="10">
        <f t="shared" si="8"/>
        <v>46319.356</v>
      </c>
      <c r="D61" s="12" t="str">
        <f t="shared" si="9"/>
        <v>vis</v>
      </c>
      <c r="E61" s="41">
        <f>VLOOKUP(C61,Active!C$21:E$968,3,FALSE)</f>
        <v>1071.969808733382</v>
      </c>
      <c r="F61" s="15" t="s">
        <v>105</v>
      </c>
      <c r="G61" s="12" t="str">
        <f t="shared" si="10"/>
        <v>46319.356</v>
      </c>
      <c r="H61" s="10">
        <f t="shared" si="11"/>
        <v>-5956</v>
      </c>
      <c r="I61" s="42" t="s">
        <v>375</v>
      </c>
      <c r="J61" s="43" t="s">
        <v>376</v>
      </c>
      <c r="K61" s="42">
        <v>-5956</v>
      </c>
      <c r="L61" s="42" t="s">
        <v>377</v>
      </c>
      <c r="M61" s="43" t="s">
        <v>124</v>
      </c>
      <c r="N61" s="43"/>
      <c r="O61" s="44" t="s">
        <v>215</v>
      </c>
      <c r="P61" s="44" t="s">
        <v>374</v>
      </c>
    </row>
    <row r="62" spans="1:16" ht="12.75" customHeight="1" thickBot="1">
      <c r="A62" s="10" t="str">
        <f t="shared" si="6"/>
        <v> BBS 78 </v>
      </c>
      <c r="B62" s="15" t="str">
        <f t="shared" si="7"/>
        <v>I</v>
      </c>
      <c r="C62" s="10">
        <f t="shared" si="8"/>
        <v>46329.35</v>
      </c>
      <c r="D62" s="12" t="str">
        <f t="shared" si="9"/>
        <v>vis</v>
      </c>
      <c r="E62" s="41">
        <f>VLOOKUP(C62,Active!C$21:E$968,3,FALSE)</f>
        <v>1078.9907394527982</v>
      </c>
      <c r="F62" s="15" t="s">
        <v>105</v>
      </c>
      <c r="G62" s="12" t="str">
        <f t="shared" si="10"/>
        <v>46329.350</v>
      </c>
      <c r="H62" s="10">
        <f t="shared" si="11"/>
        <v>-5949</v>
      </c>
      <c r="I62" s="42" t="s">
        <v>378</v>
      </c>
      <c r="J62" s="43" t="s">
        <v>379</v>
      </c>
      <c r="K62" s="42">
        <v>-5949</v>
      </c>
      <c r="L62" s="42" t="s">
        <v>380</v>
      </c>
      <c r="M62" s="43" t="s">
        <v>124</v>
      </c>
      <c r="N62" s="43"/>
      <c r="O62" s="44" t="s">
        <v>215</v>
      </c>
      <c r="P62" s="44" t="s">
        <v>374</v>
      </c>
    </row>
    <row r="63" spans="1:16" ht="12.75" customHeight="1" thickBot="1">
      <c r="A63" s="10" t="str">
        <f t="shared" si="6"/>
        <v> BBS 82 </v>
      </c>
      <c r="B63" s="15" t="str">
        <f t="shared" si="7"/>
        <v>I</v>
      </c>
      <c r="C63" s="10">
        <f t="shared" si="8"/>
        <v>46702.300999999999</v>
      </c>
      <c r="D63" s="12" t="str">
        <f t="shared" si="9"/>
        <v>vis</v>
      </c>
      <c r="E63" s="41">
        <f>VLOOKUP(C63,Active!C$21:E$968,3,FALSE)</f>
        <v>1340.9942548357606</v>
      </c>
      <c r="F63" s="15" t="s">
        <v>105</v>
      </c>
      <c r="G63" s="12" t="str">
        <f t="shared" si="10"/>
        <v>46702.301</v>
      </c>
      <c r="H63" s="10">
        <f t="shared" si="11"/>
        <v>-5687</v>
      </c>
      <c r="I63" s="42" t="s">
        <v>381</v>
      </c>
      <c r="J63" s="43" t="s">
        <v>382</v>
      </c>
      <c r="K63" s="42">
        <v>-5687</v>
      </c>
      <c r="L63" s="42" t="s">
        <v>331</v>
      </c>
      <c r="M63" s="43" t="s">
        <v>124</v>
      </c>
      <c r="N63" s="43"/>
      <c r="O63" s="44" t="s">
        <v>383</v>
      </c>
      <c r="P63" s="44" t="s">
        <v>384</v>
      </c>
    </row>
    <row r="64" spans="1:16" ht="12.75" customHeight="1" thickBot="1">
      <c r="A64" s="10" t="str">
        <f t="shared" si="6"/>
        <v> BBS 89 </v>
      </c>
      <c r="B64" s="15" t="str">
        <f t="shared" si="7"/>
        <v>I</v>
      </c>
      <c r="C64" s="10">
        <f t="shared" si="8"/>
        <v>47368.483999999997</v>
      </c>
      <c r="D64" s="12" t="str">
        <f t="shared" si="9"/>
        <v>vis</v>
      </c>
      <c r="E64" s="41">
        <f>VLOOKUP(C64,Active!C$21:E$968,3,FALSE)</f>
        <v>1808.9975257436465</v>
      </c>
      <c r="F64" s="15" t="s">
        <v>105</v>
      </c>
      <c r="G64" s="12" t="str">
        <f t="shared" si="10"/>
        <v>47368.484</v>
      </c>
      <c r="H64" s="10">
        <f t="shared" si="11"/>
        <v>-5219</v>
      </c>
      <c r="I64" s="42" t="s">
        <v>385</v>
      </c>
      <c r="J64" s="43" t="s">
        <v>386</v>
      </c>
      <c r="K64" s="42">
        <v>-5219</v>
      </c>
      <c r="L64" s="42" t="s">
        <v>387</v>
      </c>
      <c r="M64" s="43" t="s">
        <v>124</v>
      </c>
      <c r="N64" s="43"/>
      <c r="O64" s="44" t="s">
        <v>336</v>
      </c>
      <c r="P64" s="44" t="s">
        <v>388</v>
      </c>
    </row>
    <row r="65" spans="1:16" ht="12.75" customHeight="1" thickBot="1">
      <c r="A65" s="10" t="str">
        <f t="shared" si="6"/>
        <v> BBS 89 </v>
      </c>
      <c r="B65" s="15" t="str">
        <f t="shared" si="7"/>
        <v>I</v>
      </c>
      <c r="C65" s="10">
        <f t="shared" si="8"/>
        <v>47388.396999999997</v>
      </c>
      <c r="D65" s="12" t="str">
        <f t="shared" si="9"/>
        <v>vis</v>
      </c>
      <c r="E65" s="41">
        <f>VLOOKUP(C65,Active!C$21:E$968,3,FALSE)</f>
        <v>1822.9866985889291</v>
      </c>
      <c r="F65" s="15" t="s">
        <v>105</v>
      </c>
      <c r="G65" s="12" t="str">
        <f t="shared" si="10"/>
        <v>47388.397</v>
      </c>
      <c r="H65" s="10">
        <f t="shared" si="11"/>
        <v>-5205</v>
      </c>
      <c r="I65" s="42" t="s">
        <v>389</v>
      </c>
      <c r="J65" s="43" t="s">
        <v>390</v>
      </c>
      <c r="K65" s="42">
        <v>-5205</v>
      </c>
      <c r="L65" s="42" t="s">
        <v>391</v>
      </c>
      <c r="M65" s="43" t="s">
        <v>124</v>
      </c>
      <c r="N65" s="43"/>
      <c r="O65" s="44" t="s">
        <v>392</v>
      </c>
      <c r="P65" s="44" t="s">
        <v>388</v>
      </c>
    </row>
    <row r="66" spans="1:16" ht="12.75" customHeight="1" thickBot="1">
      <c r="A66" s="10" t="str">
        <f t="shared" si="6"/>
        <v> BBS 96 </v>
      </c>
      <c r="B66" s="15" t="str">
        <f t="shared" si="7"/>
        <v>I</v>
      </c>
      <c r="C66" s="10">
        <f t="shared" si="8"/>
        <v>48094.436999999998</v>
      </c>
      <c r="D66" s="12" t="str">
        <f t="shared" si="9"/>
        <v>vis</v>
      </c>
      <c r="E66" s="41">
        <f>VLOOKUP(C66,Active!C$21:E$968,3,FALSE)</f>
        <v>2318.9900931393836</v>
      </c>
      <c r="F66" s="15" t="s">
        <v>105</v>
      </c>
      <c r="G66" s="12" t="str">
        <f t="shared" si="10"/>
        <v>48094.437</v>
      </c>
      <c r="H66" s="10">
        <f t="shared" si="11"/>
        <v>-4709</v>
      </c>
      <c r="I66" s="42" t="s">
        <v>398</v>
      </c>
      <c r="J66" s="43" t="s">
        <v>399</v>
      </c>
      <c r="K66" s="42">
        <v>-4709</v>
      </c>
      <c r="L66" s="42" t="s">
        <v>400</v>
      </c>
      <c r="M66" s="43" t="s">
        <v>124</v>
      </c>
      <c r="N66" s="43"/>
      <c r="O66" s="44" t="s">
        <v>336</v>
      </c>
      <c r="P66" s="44" t="s">
        <v>401</v>
      </c>
    </row>
    <row r="67" spans="1:16" ht="12.75" customHeight="1" thickBot="1">
      <c r="A67" s="10" t="str">
        <f t="shared" si="6"/>
        <v> BBS 98 </v>
      </c>
      <c r="B67" s="15" t="str">
        <f t="shared" si="7"/>
        <v>I</v>
      </c>
      <c r="C67" s="10">
        <f t="shared" si="8"/>
        <v>48484.468000000001</v>
      </c>
      <c r="D67" s="12" t="str">
        <f t="shared" si="9"/>
        <v>vis</v>
      </c>
      <c r="E67" s="41">
        <f>VLOOKUP(C67,Active!C$21:E$968,3,FALSE)</f>
        <v>2592.9925575605348</v>
      </c>
      <c r="F67" s="15" t="s">
        <v>105</v>
      </c>
      <c r="G67" s="12" t="str">
        <f t="shared" si="10"/>
        <v>48484.468</v>
      </c>
      <c r="H67" s="10">
        <f t="shared" si="11"/>
        <v>-4435</v>
      </c>
      <c r="I67" s="42" t="s">
        <v>402</v>
      </c>
      <c r="J67" s="43" t="s">
        <v>403</v>
      </c>
      <c r="K67" s="42">
        <v>-4435</v>
      </c>
      <c r="L67" s="42" t="s">
        <v>404</v>
      </c>
      <c r="M67" s="43" t="s">
        <v>124</v>
      </c>
      <c r="N67" s="43"/>
      <c r="O67" s="44" t="s">
        <v>215</v>
      </c>
      <c r="P67" s="44" t="s">
        <v>405</v>
      </c>
    </row>
    <row r="68" spans="1:16" ht="12.75" customHeight="1" thickBot="1">
      <c r="A68" s="10" t="str">
        <f t="shared" si="6"/>
        <v> BBS 105 </v>
      </c>
      <c r="B68" s="15" t="str">
        <f t="shared" si="7"/>
        <v>I</v>
      </c>
      <c r="C68" s="10">
        <f t="shared" si="8"/>
        <v>49220.406000000003</v>
      </c>
      <c r="D68" s="12" t="str">
        <f t="shared" si="9"/>
        <v>vis</v>
      </c>
      <c r="E68" s="41">
        <f>VLOOKUP(C68,Active!C$21:E$968,3,FALSE)</f>
        <v>3109.999733044463</v>
      </c>
      <c r="F68" s="15" t="s">
        <v>105</v>
      </c>
      <c r="G68" s="12" t="str">
        <f t="shared" si="10"/>
        <v>49220.406</v>
      </c>
      <c r="H68" s="10">
        <f t="shared" si="11"/>
        <v>-3918</v>
      </c>
      <c r="I68" s="42" t="s">
        <v>406</v>
      </c>
      <c r="J68" s="43" t="s">
        <v>407</v>
      </c>
      <c r="K68" s="42">
        <v>-3918</v>
      </c>
      <c r="L68" s="42" t="s">
        <v>331</v>
      </c>
      <c r="M68" s="43" t="s">
        <v>124</v>
      </c>
      <c r="N68" s="43"/>
      <c r="O68" s="44" t="s">
        <v>215</v>
      </c>
      <c r="P68" s="44" t="s">
        <v>408</v>
      </c>
    </row>
    <row r="69" spans="1:16" ht="12.75" customHeight="1" thickBot="1">
      <c r="A69" s="10" t="str">
        <f t="shared" si="6"/>
        <v> BBS 114 </v>
      </c>
      <c r="B69" s="15" t="str">
        <f t="shared" si="7"/>
        <v>I</v>
      </c>
      <c r="C69" s="10">
        <f t="shared" si="8"/>
        <v>50336.391000000003</v>
      </c>
      <c r="D69" s="12" t="str">
        <f t="shared" si="9"/>
        <v>vis</v>
      </c>
      <c r="E69" s="41">
        <f>VLOOKUP(C69,Active!C$21:E$968,3,FALSE)</f>
        <v>3893.9954673759298</v>
      </c>
      <c r="F69" s="15" t="s">
        <v>105</v>
      </c>
      <c r="G69" s="12" t="str">
        <f t="shared" si="10"/>
        <v>50336.391</v>
      </c>
      <c r="H69" s="10">
        <f t="shared" si="11"/>
        <v>-3134</v>
      </c>
      <c r="I69" s="42" t="s">
        <v>409</v>
      </c>
      <c r="J69" s="43" t="s">
        <v>410</v>
      </c>
      <c r="K69" s="42">
        <v>-3134</v>
      </c>
      <c r="L69" s="42" t="s">
        <v>411</v>
      </c>
      <c r="M69" s="43" t="s">
        <v>124</v>
      </c>
      <c r="N69" s="43"/>
      <c r="O69" s="44" t="s">
        <v>336</v>
      </c>
      <c r="P69" s="44" t="s">
        <v>412</v>
      </c>
    </row>
    <row r="70" spans="1:16" ht="12.75" customHeight="1" thickBot="1">
      <c r="A70" s="10" t="str">
        <f t="shared" si="6"/>
        <v> BBS 116 </v>
      </c>
      <c r="B70" s="15" t="str">
        <f t="shared" si="7"/>
        <v>I</v>
      </c>
      <c r="C70" s="10">
        <f t="shared" si="8"/>
        <v>50699.377999999997</v>
      </c>
      <c r="D70" s="12" t="str">
        <f t="shared" si="9"/>
        <v>vis</v>
      </c>
      <c r="E70" s="41">
        <f>VLOOKUP(C70,Active!C$21:E$968,3,FALSE)</f>
        <v>4148.9991274768909</v>
      </c>
      <c r="F70" s="15" t="s">
        <v>105</v>
      </c>
      <c r="G70" s="12" t="str">
        <f t="shared" si="10"/>
        <v>50699.378</v>
      </c>
      <c r="H70" s="10">
        <f t="shared" si="11"/>
        <v>-2879</v>
      </c>
      <c r="I70" s="42" t="s">
        <v>413</v>
      </c>
      <c r="J70" s="43" t="s">
        <v>414</v>
      </c>
      <c r="K70" s="42">
        <v>-2879</v>
      </c>
      <c r="L70" s="42" t="s">
        <v>373</v>
      </c>
      <c r="M70" s="43" t="s">
        <v>124</v>
      </c>
      <c r="N70" s="43"/>
      <c r="O70" s="44" t="s">
        <v>336</v>
      </c>
      <c r="P70" s="44" t="s">
        <v>415</v>
      </c>
    </row>
    <row r="71" spans="1:16" ht="12.75" customHeight="1" thickBot="1">
      <c r="A71" s="10" t="str">
        <f t="shared" si="6"/>
        <v>IBVS 5364 </v>
      </c>
      <c r="B71" s="15" t="str">
        <f t="shared" si="7"/>
        <v>I</v>
      </c>
      <c r="C71" s="10">
        <f t="shared" si="8"/>
        <v>52521.405599999998</v>
      </c>
      <c r="D71" s="12" t="str">
        <f t="shared" si="9"/>
        <v>vis</v>
      </c>
      <c r="E71" s="41">
        <f>VLOOKUP(C71,Active!C$21:E$968,3,FALSE)</f>
        <v>5429.0000828967213</v>
      </c>
      <c r="F71" s="15" t="s">
        <v>105</v>
      </c>
      <c r="G71" s="12" t="str">
        <f t="shared" si="10"/>
        <v>52521.4056</v>
      </c>
      <c r="H71" s="10">
        <f t="shared" si="11"/>
        <v>-1599</v>
      </c>
      <c r="I71" s="42" t="s">
        <v>442</v>
      </c>
      <c r="J71" s="43" t="s">
        <v>443</v>
      </c>
      <c r="K71" s="42">
        <v>-1599</v>
      </c>
      <c r="L71" s="42" t="s">
        <v>437</v>
      </c>
      <c r="M71" s="43" t="s">
        <v>444</v>
      </c>
      <c r="N71" s="43" t="s">
        <v>445</v>
      </c>
      <c r="O71" s="44" t="s">
        <v>446</v>
      </c>
      <c r="P71" s="45" t="s">
        <v>447</v>
      </c>
    </row>
    <row r="72" spans="1:16" ht="12.75" customHeight="1" thickBot="1">
      <c r="A72" s="10" t="str">
        <f t="shared" si="6"/>
        <v>IBVS 5897 </v>
      </c>
      <c r="B72" s="15" t="str">
        <f t="shared" si="7"/>
        <v>I</v>
      </c>
      <c r="C72" s="10">
        <f t="shared" si="8"/>
        <v>54296.461199999998</v>
      </c>
      <c r="D72" s="12" t="str">
        <f t="shared" si="9"/>
        <v>vis</v>
      </c>
      <c r="E72" s="41">
        <f>VLOOKUP(C72,Active!C$21:E$968,3,FALSE)</f>
        <v>6676.0025234323748</v>
      </c>
      <c r="F72" s="15" t="s">
        <v>105</v>
      </c>
      <c r="G72" s="12" t="str">
        <f t="shared" si="10"/>
        <v>54296.4612</v>
      </c>
      <c r="H72" s="10">
        <f t="shared" si="11"/>
        <v>-352</v>
      </c>
      <c r="I72" s="42" t="s">
        <v>467</v>
      </c>
      <c r="J72" s="43" t="s">
        <v>468</v>
      </c>
      <c r="K72" s="42">
        <v>-352</v>
      </c>
      <c r="L72" s="42" t="s">
        <v>469</v>
      </c>
      <c r="M72" s="43" t="s">
        <v>430</v>
      </c>
      <c r="N72" s="43" t="s">
        <v>470</v>
      </c>
      <c r="O72" s="44" t="s">
        <v>471</v>
      </c>
      <c r="P72" s="45" t="s">
        <v>472</v>
      </c>
    </row>
    <row r="73" spans="1:16" ht="12.75" customHeight="1" thickBot="1">
      <c r="A73" s="10" t="str">
        <f t="shared" si="6"/>
        <v>IBVS 5897 </v>
      </c>
      <c r="B73" s="15" t="str">
        <f t="shared" si="7"/>
        <v>I</v>
      </c>
      <c r="C73" s="10">
        <f t="shared" si="8"/>
        <v>54363.364800000003</v>
      </c>
      <c r="D73" s="12" t="str">
        <f t="shared" si="9"/>
        <v>vis</v>
      </c>
      <c r="E73" s="41">
        <f>VLOOKUP(C73,Active!C$21:E$968,3,FALSE)</f>
        <v>6723.0032779330377</v>
      </c>
      <c r="F73" s="15" t="s">
        <v>105</v>
      </c>
      <c r="G73" s="12" t="str">
        <f t="shared" si="10"/>
        <v>54363.3648</v>
      </c>
      <c r="H73" s="10">
        <f t="shared" si="11"/>
        <v>-305</v>
      </c>
      <c r="I73" s="42" t="s">
        <v>476</v>
      </c>
      <c r="J73" s="43" t="s">
        <v>477</v>
      </c>
      <c r="K73" s="42">
        <v>-305</v>
      </c>
      <c r="L73" s="42" t="s">
        <v>478</v>
      </c>
      <c r="M73" s="43" t="s">
        <v>430</v>
      </c>
      <c r="N73" s="43" t="s">
        <v>470</v>
      </c>
      <c r="O73" s="44" t="s">
        <v>471</v>
      </c>
      <c r="P73" s="45" t="s">
        <v>472</v>
      </c>
    </row>
    <row r="74" spans="1:16" ht="12.75" customHeight="1" thickBot="1">
      <c r="A74" s="10" t="str">
        <f t="shared" si="6"/>
        <v>IBVS 5897 </v>
      </c>
      <c r="B74" s="15" t="str">
        <f t="shared" si="7"/>
        <v>I</v>
      </c>
      <c r="C74" s="10">
        <f t="shared" si="8"/>
        <v>54373.328200000004</v>
      </c>
      <c r="D74" s="12" t="str">
        <f t="shared" si="9"/>
        <v>vis</v>
      </c>
      <c r="E74" s="41">
        <f>VLOOKUP(C74,Active!C$21:E$968,3,FALSE)</f>
        <v>6730.0027117062864</v>
      </c>
      <c r="F74" s="15" t="s">
        <v>105</v>
      </c>
      <c r="G74" s="12" t="str">
        <f t="shared" si="10"/>
        <v>54373.3282</v>
      </c>
      <c r="H74" s="10">
        <f t="shared" si="11"/>
        <v>-298</v>
      </c>
      <c r="I74" s="42" t="s">
        <v>479</v>
      </c>
      <c r="J74" s="43" t="s">
        <v>480</v>
      </c>
      <c r="K74" s="42">
        <v>-298</v>
      </c>
      <c r="L74" s="42" t="s">
        <v>469</v>
      </c>
      <c r="M74" s="43" t="s">
        <v>430</v>
      </c>
      <c r="N74" s="43" t="s">
        <v>470</v>
      </c>
      <c r="O74" s="44" t="s">
        <v>471</v>
      </c>
      <c r="P74" s="45" t="s">
        <v>472</v>
      </c>
    </row>
    <row r="75" spans="1:16" ht="12.75" customHeight="1" thickBot="1">
      <c r="A75" s="10" t="str">
        <f t="shared" ref="A75:A106" si="12">P75</f>
        <v>JAAVSO 36(2);171 </v>
      </c>
      <c r="B75" s="15" t="str">
        <f t="shared" ref="B75:B106" si="13">IF(H75=INT(H75),"I","II")</f>
        <v>I</v>
      </c>
      <c r="C75" s="10">
        <f t="shared" ref="C75:C106" si="14">1*G75</f>
        <v>54384.716800000002</v>
      </c>
      <c r="D75" s="12" t="str">
        <f t="shared" ref="D75:D106" si="15">VLOOKUP(F75,I$1:J$5,2,FALSE)</f>
        <v>vis</v>
      </c>
      <c r="E75" s="41">
        <f>VLOOKUP(C75,Active!C$21:E$968,3,FALSE)</f>
        <v>6738.0033692599327</v>
      </c>
      <c r="F75" s="15" t="s">
        <v>105</v>
      </c>
      <c r="G75" s="12" t="str">
        <f t="shared" ref="G75:G106" si="16">MID(I75,3,LEN(I75)-3)</f>
        <v>54384.7168</v>
      </c>
      <c r="H75" s="10">
        <f t="shared" ref="H75:H106" si="17">1*K75</f>
        <v>-290</v>
      </c>
      <c r="I75" s="42" t="s">
        <v>481</v>
      </c>
      <c r="J75" s="43" t="s">
        <v>482</v>
      </c>
      <c r="K75" s="42">
        <v>-290</v>
      </c>
      <c r="L75" s="42" t="s">
        <v>457</v>
      </c>
      <c r="M75" s="43" t="s">
        <v>430</v>
      </c>
      <c r="N75" s="43" t="s">
        <v>431</v>
      </c>
      <c r="O75" s="44" t="s">
        <v>483</v>
      </c>
      <c r="P75" s="45" t="s">
        <v>484</v>
      </c>
    </row>
    <row r="76" spans="1:16" ht="12.75" customHeight="1" thickBot="1">
      <c r="A76" s="10" t="str">
        <f t="shared" si="12"/>
        <v>JAAVSO 36(2);186 </v>
      </c>
      <c r="B76" s="15" t="str">
        <f t="shared" si="13"/>
        <v>I</v>
      </c>
      <c r="C76" s="10">
        <f t="shared" si="14"/>
        <v>54680.797299999998</v>
      </c>
      <c r="D76" s="12" t="str">
        <f t="shared" si="15"/>
        <v>vis</v>
      </c>
      <c r="E76" s="41">
        <f>VLOOKUP(C76,Active!C$21:E$968,3,FALSE)</f>
        <v>6946.0042375679523</v>
      </c>
      <c r="F76" s="15" t="s">
        <v>105</v>
      </c>
      <c r="G76" s="12" t="str">
        <f t="shared" si="16"/>
        <v>54680.7973</v>
      </c>
      <c r="H76" s="10">
        <f t="shared" si="17"/>
        <v>-82</v>
      </c>
      <c r="I76" s="42" t="s">
        <v>485</v>
      </c>
      <c r="J76" s="43" t="s">
        <v>486</v>
      </c>
      <c r="K76" s="42">
        <v>-82</v>
      </c>
      <c r="L76" s="42" t="s">
        <v>487</v>
      </c>
      <c r="M76" s="43" t="s">
        <v>430</v>
      </c>
      <c r="N76" s="43" t="s">
        <v>488</v>
      </c>
      <c r="O76" s="44" t="s">
        <v>263</v>
      </c>
      <c r="P76" s="45" t="s">
        <v>489</v>
      </c>
    </row>
    <row r="77" spans="1:16" ht="12.75" customHeight="1" thickBot="1">
      <c r="A77" s="10" t="str">
        <f t="shared" si="12"/>
        <v>IBVS 5897 </v>
      </c>
      <c r="B77" s="15" t="str">
        <f t="shared" si="13"/>
        <v>I</v>
      </c>
      <c r="C77" s="10">
        <f t="shared" si="14"/>
        <v>54716.380400000002</v>
      </c>
      <c r="D77" s="12" t="str">
        <f t="shared" si="15"/>
        <v>vis</v>
      </c>
      <c r="E77" s="41">
        <f>VLOOKUP(C77,Active!C$21:E$968,3,FALSE)</f>
        <v>6971.0018841441088</v>
      </c>
      <c r="F77" s="15" t="s">
        <v>105</v>
      </c>
      <c r="G77" s="12" t="str">
        <f t="shared" si="16"/>
        <v>54716.3804</v>
      </c>
      <c r="H77" s="10">
        <f t="shared" si="17"/>
        <v>-57</v>
      </c>
      <c r="I77" s="42" t="s">
        <v>490</v>
      </c>
      <c r="J77" s="43" t="s">
        <v>491</v>
      </c>
      <c r="K77" s="42">
        <v>-57</v>
      </c>
      <c r="L77" s="42" t="s">
        <v>492</v>
      </c>
      <c r="M77" s="43" t="s">
        <v>430</v>
      </c>
      <c r="N77" s="43" t="s">
        <v>493</v>
      </c>
      <c r="O77" s="44" t="s">
        <v>471</v>
      </c>
      <c r="P77" s="45" t="s">
        <v>472</v>
      </c>
    </row>
    <row r="78" spans="1:16" ht="12.75" customHeight="1" thickBot="1">
      <c r="A78" s="10" t="str">
        <f t="shared" si="12"/>
        <v> JAAVSO 38;85 </v>
      </c>
      <c r="B78" s="15" t="str">
        <f t="shared" si="13"/>
        <v>I</v>
      </c>
      <c r="C78" s="10">
        <f t="shared" si="14"/>
        <v>55043.782500000001</v>
      </c>
      <c r="D78" s="12" t="str">
        <f t="shared" si="15"/>
        <v>vis</v>
      </c>
      <c r="E78" s="41">
        <f>VLOOKUP(C78,Active!C$21:E$968,3,FALSE)</f>
        <v>7201.0066331426742</v>
      </c>
      <c r="F78" s="15" t="s">
        <v>105</v>
      </c>
      <c r="G78" s="12" t="str">
        <f t="shared" si="16"/>
        <v>55043.7825</v>
      </c>
      <c r="H78" s="10">
        <f t="shared" si="17"/>
        <v>173</v>
      </c>
      <c r="I78" s="42" t="s">
        <v>494</v>
      </c>
      <c r="J78" s="43" t="s">
        <v>495</v>
      </c>
      <c r="K78" s="42">
        <v>173</v>
      </c>
      <c r="L78" s="42" t="s">
        <v>496</v>
      </c>
      <c r="M78" s="43" t="s">
        <v>430</v>
      </c>
      <c r="N78" s="43" t="s">
        <v>431</v>
      </c>
      <c r="O78" s="44" t="s">
        <v>263</v>
      </c>
      <c r="P78" s="44" t="s">
        <v>497</v>
      </c>
    </row>
    <row r="79" spans="1:16" ht="12.75" customHeight="1" thickBot="1">
      <c r="A79" s="10" t="str">
        <f t="shared" si="12"/>
        <v> JAAVSO 40;975 </v>
      </c>
      <c r="B79" s="15" t="str">
        <f t="shared" si="13"/>
        <v>I</v>
      </c>
      <c r="C79" s="10">
        <f t="shared" si="14"/>
        <v>55836.6486</v>
      </c>
      <c r="D79" s="12" t="str">
        <f t="shared" si="15"/>
        <v>vis</v>
      </c>
      <c r="E79" s="41">
        <f>VLOOKUP(C79,Active!C$21:E$968,3,FALSE)</f>
        <v>7758.0066289275865</v>
      </c>
      <c r="F79" s="15" t="s">
        <v>105</v>
      </c>
      <c r="G79" s="12" t="str">
        <f t="shared" si="16"/>
        <v>55836.6486</v>
      </c>
      <c r="H79" s="10">
        <f t="shared" si="17"/>
        <v>730</v>
      </c>
      <c r="I79" s="42" t="s">
        <v>504</v>
      </c>
      <c r="J79" s="43" t="s">
        <v>505</v>
      </c>
      <c r="K79" s="42" t="s">
        <v>506</v>
      </c>
      <c r="L79" s="42" t="s">
        <v>440</v>
      </c>
      <c r="M79" s="43" t="s">
        <v>430</v>
      </c>
      <c r="N79" s="43" t="s">
        <v>105</v>
      </c>
      <c r="O79" s="44" t="s">
        <v>263</v>
      </c>
      <c r="P79" s="44" t="s">
        <v>507</v>
      </c>
    </row>
    <row r="80" spans="1:16" ht="12.75" customHeight="1" thickBot="1">
      <c r="A80" s="10" t="str">
        <f t="shared" si="12"/>
        <v> JAAVSO 41;328 </v>
      </c>
      <c r="B80" s="15" t="str">
        <f t="shared" si="13"/>
        <v>I</v>
      </c>
      <c r="C80" s="10">
        <f t="shared" si="14"/>
        <v>56552.650900000001</v>
      </c>
      <c r="D80" s="12" t="str">
        <f t="shared" si="15"/>
        <v>vis</v>
      </c>
      <c r="E80" s="41">
        <f>VLOOKUP(C80,Active!C$21:E$968,3,FALSE)</f>
        <v>8261.0086844852485</v>
      </c>
      <c r="F80" s="15" t="s">
        <v>105</v>
      </c>
      <c r="G80" s="12" t="str">
        <f t="shared" si="16"/>
        <v>56552.6509</v>
      </c>
      <c r="H80" s="10">
        <f t="shared" si="17"/>
        <v>1233</v>
      </c>
      <c r="I80" s="42" t="s">
        <v>508</v>
      </c>
      <c r="J80" s="43" t="s">
        <v>509</v>
      </c>
      <c r="K80" s="42" t="s">
        <v>510</v>
      </c>
      <c r="L80" s="42" t="s">
        <v>511</v>
      </c>
      <c r="M80" s="43" t="s">
        <v>430</v>
      </c>
      <c r="N80" s="43" t="s">
        <v>105</v>
      </c>
      <c r="O80" s="44" t="s">
        <v>263</v>
      </c>
      <c r="P80" s="44" t="s">
        <v>512</v>
      </c>
    </row>
    <row r="81" spans="1:16" ht="12.75" customHeight="1" thickBot="1">
      <c r="A81" s="10" t="str">
        <f t="shared" si="12"/>
        <v> AN 251.312 </v>
      </c>
      <c r="B81" s="15" t="str">
        <f t="shared" si="13"/>
        <v>I</v>
      </c>
      <c r="C81" s="10">
        <f t="shared" si="14"/>
        <v>25854.359</v>
      </c>
      <c r="D81" s="12" t="str">
        <f t="shared" si="15"/>
        <v>vis</v>
      </c>
      <c r="E81" s="41">
        <f>VLOOKUP(C81,Active!C$21:E$968,3,FALSE)</f>
        <v>-13304.988977546229</v>
      </c>
      <c r="F81" s="15" t="s">
        <v>105</v>
      </c>
      <c r="G81" s="12" t="str">
        <f t="shared" si="16"/>
        <v>25854.359</v>
      </c>
      <c r="H81" s="10">
        <f t="shared" si="17"/>
        <v>-20333</v>
      </c>
      <c r="I81" s="42" t="s">
        <v>109</v>
      </c>
      <c r="J81" s="43" t="s">
        <v>110</v>
      </c>
      <c r="K81" s="42">
        <v>-20333</v>
      </c>
      <c r="L81" s="42" t="s">
        <v>111</v>
      </c>
      <c r="M81" s="43" t="s">
        <v>112</v>
      </c>
      <c r="N81" s="43"/>
      <c r="O81" s="44" t="s">
        <v>113</v>
      </c>
      <c r="P81" s="44" t="s">
        <v>114</v>
      </c>
    </row>
    <row r="82" spans="1:16" ht="12.75" customHeight="1" thickBot="1">
      <c r="A82" s="10" t="str">
        <f t="shared" si="12"/>
        <v> AN 251.312 </v>
      </c>
      <c r="B82" s="15" t="str">
        <f t="shared" si="13"/>
        <v>I</v>
      </c>
      <c r="C82" s="10">
        <f t="shared" si="14"/>
        <v>26331.21</v>
      </c>
      <c r="D82" s="12" t="str">
        <f t="shared" si="15"/>
        <v>vis</v>
      </c>
      <c r="E82" s="41">
        <f>VLOOKUP(C82,Active!C$21:E$968,3,FALSE)</f>
        <v>-12969.994197229564</v>
      </c>
      <c r="F82" s="15" t="s">
        <v>105</v>
      </c>
      <c r="G82" s="12" t="str">
        <f t="shared" si="16"/>
        <v>26331.210</v>
      </c>
      <c r="H82" s="10">
        <f t="shared" si="17"/>
        <v>-19998</v>
      </c>
      <c r="I82" s="42" t="s">
        <v>115</v>
      </c>
      <c r="J82" s="43" t="s">
        <v>116</v>
      </c>
      <c r="K82" s="42">
        <v>-19998</v>
      </c>
      <c r="L82" s="42" t="s">
        <v>117</v>
      </c>
      <c r="M82" s="43" t="s">
        <v>112</v>
      </c>
      <c r="N82" s="43"/>
      <c r="O82" s="44" t="s">
        <v>113</v>
      </c>
      <c r="P82" s="44" t="s">
        <v>114</v>
      </c>
    </row>
    <row r="83" spans="1:16" ht="12.75" customHeight="1" thickBot="1">
      <c r="A83" s="10" t="str">
        <f t="shared" si="12"/>
        <v> AN 251.312 </v>
      </c>
      <c r="B83" s="15" t="str">
        <f t="shared" si="13"/>
        <v>I</v>
      </c>
      <c r="C83" s="10">
        <f t="shared" si="14"/>
        <v>27303.425999999999</v>
      </c>
      <c r="D83" s="12" t="str">
        <f t="shared" si="15"/>
        <v>vis</v>
      </c>
      <c r="E83" s="41">
        <f>VLOOKUP(C83,Active!C$21:E$968,3,FALSE)</f>
        <v>-12286.998281649336</v>
      </c>
      <c r="F83" s="15" t="s">
        <v>105</v>
      </c>
      <c r="G83" s="12" t="str">
        <f t="shared" si="16"/>
        <v>27303.426</v>
      </c>
      <c r="H83" s="10">
        <f t="shared" si="17"/>
        <v>-19315</v>
      </c>
      <c r="I83" s="42" t="s">
        <v>118</v>
      </c>
      <c r="J83" s="43" t="s">
        <v>119</v>
      </c>
      <c r="K83" s="42">
        <v>-19315</v>
      </c>
      <c r="L83" s="42" t="s">
        <v>120</v>
      </c>
      <c r="M83" s="43" t="s">
        <v>112</v>
      </c>
      <c r="N83" s="43"/>
      <c r="O83" s="44" t="s">
        <v>113</v>
      </c>
      <c r="P83" s="44" t="s">
        <v>114</v>
      </c>
    </row>
    <row r="84" spans="1:16" ht="12.75" customHeight="1" thickBot="1">
      <c r="A84" s="10" t="str">
        <f t="shared" si="12"/>
        <v> AN 251.312 </v>
      </c>
      <c r="B84" s="15" t="str">
        <f t="shared" si="13"/>
        <v>I</v>
      </c>
      <c r="C84" s="10">
        <f t="shared" si="14"/>
        <v>27313.4</v>
      </c>
      <c r="D84" s="12" t="str">
        <f t="shared" si="15"/>
        <v>vis</v>
      </c>
      <c r="E84" s="41">
        <f>VLOOKUP(C84,Active!C$21:E$968,3,FALSE)</f>
        <v>-12279.99140122153</v>
      </c>
      <c r="F84" s="15" t="s">
        <v>105</v>
      </c>
      <c r="G84" s="12" t="str">
        <f t="shared" si="16"/>
        <v>27313.400</v>
      </c>
      <c r="H84" s="10">
        <f t="shared" si="17"/>
        <v>-19308</v>
      </c>
      <c r="I84" s="42" t="s">
        <v>121</v>
      </c>
      <c r="J84" s="43" t="s">
        <v>122</v>
      </c>
      <c r="K84" s="42">
        <v>-19308</v>
      </c>
      <c r="L84" s="42" t="s">
        <v>123</v>
      </c>
      <c r="M84" s="43" t="s">
        <v>124</v>
      </c>
      <c r="N84" s="43"/>
      <c r="O84" s="44" t="s">
        <v>125</v>
      </c>
      <c r="P84" s="44" t="s">
        <v>114</v>
      </c>
    </row>
    <row r="85" spans="1:16" ht="12.75" customHeight="1" thickBot="1">
      <c r="A85" s="10" t="str">
        <f t="shared" si="12"/>
        <v> AN 251.312 </v>
      </c>
      <c r="B85" s="15" t="str">
        <f t="shared" si="13"/>
        <v>I</v>
      </c>
      <c r="C85" s="10">
        <f t="shared" si="14"/>
        <v>27323.37</v>
      </c>
      <c r="D85" s="12" t="str">
        <f t="shared" si="15"/>
        <v>vis</v>
      </c>
      <c r="E85" s="41">
        <f>VLOOKUP(C85,Active!C$21:E$968,3,FALSE)</f>
        <v>-12272.987330852051</v>
      </c>
      <c r="F85" s="15" t="s">
        <v>105</v>
      </c>
      <c r="G85" s="12" t="str">
        <f t="shared" si="16"/>
        <v>27323.370</v>
      </c>
      <c r="H85" s="10">
        <f t="shared" si="17"/>
        <v>-19301</v>
      </c>
      <c r="I85" s="42" t="s">
        <v>126</v>
      </c>
      <c r="J85" s="43" t="s">
        <v>127</v>
      </c>
      <c r="K85" s="42">
        <v>-19301</v>
      </c>
      <c r="L85" s="42" t="s">
        <v>128</v>
      </c>
      <c r="M85" s="43" t="s">
        <v>124</v>
      </c>
      <c r="N85" s="43"/>
      <c r="O85" s="44" t="s">
        <v>125</v>
      </c>
      <c r="P85" s="44" t="s">
        <v>114</v>
      </c>
    </row>
    <row r="86" spans="1:16" ht="12.75" customHeight="1" thickBot="1">
      <c r="A86" s="10" t="str">
        <f t="shared" si="12"/>
        <v> AN 251.312 </v>
      </c>
      <c r="B86" s="15" t="str">
        <f t="shared" si="13"/>
        <v>I</v>
      </c>
      <c r="C86" s="10">
        <f t="shared" si="14"/>
        <v>27340.455999999998</v>
      </c>
      <c r="D86" s="12" t="str">
        <f t="shared" si="15"/>
        <v>vis</v>
      </c>
      <c r="E86" s="41">
        <f>VLOOKUP(C86,Active!C$21:E$968,3,FALSE)</f>
        <v>-12260.984166726381</v>
      </c>
      <c r="F86" s="15" t="s">
        <v>105</v>
      </c>
      <c r="G86" s="12" t="str">
        <f t="shared" si="16"/>
        <v>27340.456</v>
      </c>
      <c r="H86" s="10">
        <f t="shared" si="17"/>
        <v>-19289</v>
      </c>
      <c r="I86" s="42" t="s">
        <v>129</v>
      </c>
      <c r="J86" s="43" t="s">
        <v>130</v>
      </c>
      <c r="K86" s="42">
        <v>-19289</v>
      </c>
      <c r="L86" s="42" t="s">
        <v>131</v>
      </c>
      <c r="M86" s="43" t="s">
        <v>124</v>
      </c>
      <c r="N86" s="43"/>
      <c r="O86" s="44" t="s">
        <v>125</v>
      </c>
      <c r="P86" s="44" t="s">
        <v>114</v>
      </c>
    </row>
    <row r="87" spans="1:16" ht="12.75" customHeight="1" thickBot="1">
      <c r="A87" s="10" t="str">
        <f t="shared" si="12"/>
        <v> AN 251.312 </v>
      </c>
      <c r="B87" s="15" t="str">
        <f t="shared" si="13"/>
        <v>I</v>
      </c>
      <c r="C87" s="10">
        <f t="shared" si="14"/>
        <v>27343.294000000002</v>
      </c>
      <c r="D87" s="12" t="str">
        <f t="shared" si="15"/>
        <v>vis</v>
      </c>
      <c r="E87" s="41">
        <f>VLOOKUP(C87,Active!C$21:E$968,3,FALSE)</f>
        <v>-12258.990430346379</v>
      </c>
      <c r="F87" s="15" t="s">
        <v>105</v>
      </c>
      <c r="G87" s="12" t="str">
        <f t="shared" si="16"/>
        <v>27343.294</v>
      </c>
      <c r="H87" s="10">
        <f t="shared" si="17"/>
        <v>-19287</v>
      </c>
      <c r="I87" s="42" t="s">
        <v>132</v>
      </c>
      <c r="J87" s="43" t="s">
        <v>133</v>
      </c>
      <c r="K87" s="42">
        <v>-19287</v>
      </c>
      <c r="L87" s="42" t="s">
        <v>134</v>
      </c>
      <c r="M87" s="43" t="s">
        <v>124</v>
      </c>
      <c r="N87" s="43"/>
      <c r="O87" s="44" t="s">
        <v>125</v>
      </c>
      <c r="P87" s="44" t="s">
        <v>114</v>
      </c>
    </row>
    <row r="88" spans="1:16" ht="12.75" customHeight="1" thickBot="1">
      <c r="A88" s="10" t="str">
        <f t="shared" si="12"/>
        <v> AN 251.312 </v>
      </c>
      <c r="B88" s="15" t="str">
        <f t="shared" si="13"/>
        <v>I</v>
      </c>
      <c r="C88" s="10">
        <f t="shared" si="14"/>
        <v>27353.284</v>
      </c>
      <c r="D88" s="12" t="str">
        <f t="shared" si="15"/>
        <v>vis</v>
      </c>
      <c r="E88" s="41">
        <f>VLOOKUP(C88,Active!C$21:E$968,3,FALSE)</f>
        <v>-12251.972309685287</v>
      </c>
      <c r="F88" s="15" t="s">
        <v>105</v>
      </c>
      <c r="G88" s="12" t="str">
        <f t="shared" si="16"/>
        <v>27353.284</v>
      </c>
      <c r="H88" s="10">
        <f t="shared" si="17"/>
        <v>-19280</v>
      </c>
      <c r="I88" s="42" t="s">
        <v>135</v>
      </c>
      <c r="J88" s="43" t="s">
        <v>136</v>
      </c>
      <c r="K88" s="42">
        <v>-19280</v>
      </c>
      <c r="L88" s="42" t="s">
        <v>137</v>
      </c>
      <c r="M88" s="43" t="s">
        <v>124</v>
      </c>
      <c r="N88" s="43"/>
      <c r="O88" s="44" t="s">
        <v>125</v>
      </c>
      <c r="P88" s="44" t="s">
        <v>114</v>
      </c>
    </row>
    <row r="89" spans="1:16" ht="12.75" customHeight="1" thickBot="1">
      <c r="A89" s="10" t="str">
        <f t="shared" si="12"/>
        <v> AN 251.312 </v>
      </c>
      <c r="B89" s="15" t="str">
        <f t="shared" si="13"/>
        <v>I</v>
      </c>
      <c r="C89" s="10">
        <f t="shared" si="14"/>
        <v>27370.344000000001</v>
      </c>
      <c r="D89" s="12" t="str">
        <f t="shared" si="15"/>
        <v>vis</v>
      </c>
      <c r="E89" s="41">
        <f>VLOOKUP(C89,Active!C$21:E$968,3,FALSE)</f>
        <v>-12239.987410938713</v>
      </c>
      <c r="F89" s="15" t="s">
        <v>105</v>
      </c>
      <c r="G89" s="12" t="str">
        <f t="shared" si="16"/>
        <v>27370.344</v>
      </c>
      <c r="H89" s="10">
        <f t="shared" si="17"/>
        <v>-19268</v>
      </c>
      <c r="I89" s="42" t="s">
        <v>138</v>
      </c>
      <c r="J89" s="43" t="s">
        <v>139</v>
      </c>
      <c r="K89" s="42">
        <v>-19268</v>
      </c>
      <c r="L89" s="42" t="s">
        <v>128</v>
      </c>
      <c r="M89" s="43" t="s">
        <v>124</v>
      </c>
      <c r="N89" s="43"/>
      <c r="O89" s="44" t="s">
        <v>125</v>
      </c>
      <c r="P89" s="44" t="s">
        <v>114</v>
      </c>
    </row>
    <row r="90" spans="1:16" ht="12.75" customHeight="1" thickBot="1">
      <c r="A90" s="10" t="str">
        <f t="shared" si="12"/>
        <v> BSAO 8.26 </v>
      </c>
      <c r="B90" s="15" t="str">
        <f t="shared" si="13"/>
        <v>I</v>
      </c>
      <c r="C90" s="10">
        <f t="shared" si="14"/>
        <v>27372.190999999999</v>
      </c>
      <c r="D90" s="12" t="str">
        <f t="shared" si="15"/>
        <v>vis</v>
      </c>
      <c r="E90" s="41">
        <f>VLOOKUP(C90,Active!C$21:E$968,3,FALSE)</f>
        <v>-12238.689866508179</v>
      </c>
      <c r="F90" s="15" t="s">
        <v>105</v>
      </c>
      <c r="G90" s="12" t="str">
        <f t="shared" si="16"/>
        <v>27372.191</v>
      </c>
      <c r="H90" s="10">
        <f t="shared" si="17"/>
        <v>-19267</v>
      </c>
      <c r="I90" s="42" t="s">
        <v>140</v>
      </c>
      <c r="J90" s="43" t="s">
        <v>141</v>
      </c>
      <c r="K90" s="42">
        <v>-19267</v>
      </c>
      <c r="L90" s="42" t="s">
        <v>142</v>
      </c>
      <c r="M90" s="43" t="s">
        <v>124</v>
      </c>
      <c r="N90" s="43"/>
      <c r="O90" s="44" t="s">
        <v>143</v>
      </c>
      <c r="P90" s="44" t="s">
        <v>144</v>
      </c>
    </row>
    <row r="91" spans="1:16" ht="12.75" customHeight="1" thickBot="1">
      <c r="A91" s="10" t="str">
        <f t="shared" si="12"/>
        <v> IODE 4.1.164 </v>
      </c>
      <c r="B91" s="15" t="str">
        <f t="shared" si="13"/>
        <v>I</v>
      </c>
      <c r="C91" s="10">
        <f t="shared" si="14"/>
        <v>27393.190999999999</v>
      </c>
      <c r="D91" s="12" t="str">
        <f t="shared" si="15"/>
        <v>vis</v>
      </c>
      <c r="E91" s="41">
        <f>VLOOKUP(C91,Active!C$21:E$968,3,FALSE)</f>
        <v>-12223.937060313687</v>
      </c>
      <c r="F91" s="15" t="s">
        <v>105</v>
      </c>
      <c r="G91" s="12" t="str">
        <f t="shared" si="16"/>
        <v>27393.191</v>
      </c>
      <c r="H91" s="10">
        <f t="shared" si="17"/>
        <v>-19252</v>
      </c>
      <c r="I91" s="42" t="s">
        <v>145</v>
      </c>
      <c r="J91" s="43" t="s">
        <v>146</v>
      </c>
      <c r="K91" s="42">
        <v>-19252</v>
      </c>
      <c r="L91" s="42" t="s">
        <v>147</v>
      </c>
      <c r="M91" s="43" t="s">
        <v>124</v>
      </c>
      <c r="N91" s="43"/>
      <c r="O91" s="44" t="s">
        <v>143</v>
      </c>
      <c r="P91" s="44" t="s">
        <v>148</v>
      </c>
    </row>
    <row r="92" spans="1:16" ht="12.75" customHeight="1" thickBot="1">
      <c r="A92" s="10" t="str">
        <f t="shared" si="12"/>
        <v> AAC 2.77 </v>
      </c>
      <c r="B92" s="15" t="str">
        <f t="shared" si="13"/>
        <v>I</v>
      </c>
      <c r="C92" s="10">
        <f t="shared" si="14"/>
        <v>27703.434000000001</v>
      </c>
      <c r="D92" s="12" t="str">
        <f t="shared" si="15"/>
        <v>vis</v>
      </c>
      <c r="E92" s="41">
        <f>VLOOKUP(C92,Active!C$21:E$968,3,FALSE)</f>
        <v>-12005.986829256639</v>
      </c>
      <c r="F92" s="15" t="s">
        <v>105</v>
      </c>
      <c r="G92" s="12" t="str">
        <f t="shared" si="16"/>
        <v>27703.434</v>
      </c>
      <c r="H92" s="10">
        <f t="shared" si="17"/>
        <v>-19034</v>
      </c>
      <c r="I92" s="42" t="s">
        <v>149</v>
      </c>
      <c r="J92" s="43" t="s">
        <v>150</v>
      </c>
      <c r="K92" s="42">
        <v>-19034</v>
      </c>
      <c r="L92" s="42" t="s">
        <v>151</v>
      </c>
      <c r="M92" s="43" t="s">
        <v>124</v>
      </c>
      <c r="N92" s="43"/>
      <c r="O92" s="44" t="s">
        <v>152</v>
      </c>
      <c r="P92" s="44" t="s">
        <v>153</v>
      </c>
    </row>
    <row r="93" spans="1:16" ht="12.75" customHeight="1" thickBot="1">
      <c r="A93" s="10" t="str">
        <f t="shared" si="12"/>
        <v> AN 259.189 </v>
      </c>
      <c r="B93" s="15" t="str">
        <f t="shared" si="13"/>
        <v>I</v>
      </c>
      <c r="C93" s="10">
        <f t="shared" si="14"/>
        <v>27979.599999999999</v>
      </c>
      <c r="D93" s="12" t="str">
        <f t="shared" si="15"/>
        <v>vis</v>
      </c>
      <c r="E93" s="41">
        <f>VLOOKUP(C93,Active!C$21:E$968,3,FALSE)</f>
        <v>-11811.976187565773</v>
      </c>
      <c r="F93" s="15" t="s">
        <v>105</v>
      </c>
      <c r="G93" s="12" t="str">
        <f t="shared" si="16"/>
        <v>27979.600</v>
      </c>
      <c r="H93" s="10">
        <f t="shared" si="17"/>
        <v>-18840</v>
      </c>
      <c r="I93" s="42" t="s">
        <v>154</v>
      </c>
      <c r="J93" s="43" t="s">
        <v>155</v>
      </c>
      <c r="K93" s="42">
        <v>-18840</v>
      </c>
      <c r="L93" s="42" t="s">
        <v>156</v>
      </c>
      <c r="M93" s="43" t="s">
        <v>124</v>
      </c>
      <c r="N93" s="43"/>
      <c r="O93" s="44" t="s">
        <v>157</v>
      </c>
      <c r="P93" s="44" t="s">
        <v>158</v>
      </c>
    </row>
    <row r="94" spans="1:16" ht="12.75" customHeight="1" thickBot="1">
      <c r="A94" s="10" t="str">
        <f t="shared" si="12"/>
        <v> AN 259.189 </v>
      </c>
      <c r="B94" s="15" t="str">
        <f t="shared" si="13"/>
        <v>I</v>
      </c>
      <c r="C94" s="10">
        <f t="shared" si="14"/>
        <v>27989.544000000002</v>
      </c>
      <c r="D94" s="12" t="str">
        <f t="shared" si="15"/>
        <v>vis</v>
      </c>
      <c r="E94" s="41">
        <f>VLOOKUP(C94,Active!C$21:E$968,3,FALSE)</f>
        <v>-11804.990382575388</v>
      </c>
      <c r="F94" s="15" t="s">
        <v>105</v>
      </c>
      <c r="G94" s="12" t="str">
        <f t="shared" si="16"/>
        <v>27989.544</v>
      </c>
      <c r="H94" s="10">
        <f t="shared" si="17"/>
        <v>-18833</v>
      </c>
      <c r="I94" s="42" t="s">
        <v>159</v>
      </c>
      <c r="J94" s="43" t="s">
        <v>160</v>
      </c>
      <c r="K94" s="42">
        <v>-18833</v>
      </c>
      <c r="L94" s="42" t="s">
        <v>117</v>
      </c>
      <c r="M94" s="43" t="s">
        <v>124</v>
      </c>
      <c r="N94" s="43"/>
      <c r="O94" s="44" t="s">
        <v>157</v>
      </c>
      <c r="P94" s="44" t="s">
        <v>158</v>
      </c>
    </row>
    <row r="95" spans="1:16" ht="12.75" customHeight="1" thickBot="1">
      <c r="A95" s="10" t="str">
        <f t="shared" si="12"/>
        <v> AN 259.189 </v>
      </c>
      <c r="B95" s="15" t="str">
        <f t="shared" si="13"/>
        <v>I</v>
      </c>
      <c r="C95" s="10">
        <f t="shared" si="14"/>
        <v>28022.267</v>
      </c>
      <c r="D95" s="12" t="str">
        <f t="shared" si="15"/>
        <v>vis</v>
      </c>
      <c r="E95" s="41">
        <f>VLOOKUP(C95,Active!C$21:E$968,3,FALSE)</f>
        <v>-11782.001997951467</v>
      </c>
      <c r="F95" s="15" t="s">
        <v>105</v>
      </c>
      <c r="G95" s="12" t="str">
        <f t="shared" si="16"/>
        <v>28022.267</v>
      </c>
      <c r="H95" s="10">
        <f t="shared" si="17"/>
        <v>-18810</v>
      </c>
      <c r="I95" s="42" t="s">
        <v>161</v>
      </c>
      <c r="J95" s="43" t="s">
        <v>162</v>
      </c>
      <c r="K95" s="42">
        <v>-18810</v>
      </c>
      <c r="L95" s="42" t="s">
        <v>163</v>
      </c>
      <c r="M95" s="43" t="s">
        <v>124</v>
      </c>
      <c r="N95" s="43"/>
      <c r="O95" s="44" t="s">
        <v>157</v>
      </c>
      <c r="P95" s="44" t="s">
        <v>158</v>
      </c>
    </row>
    <row r="96" spans="1:16" ht="12.75" customHeight="1" thickBot="1">
      <c r="A96" s="10" t="str">
        <f t="shared" si="12"/>
        <v> AN 259.189 </v>
      </c>
      <c r="B96" s="15" t="str">
        <f t="shared" si="13"/>
        <v>I</v>
      </c>
      <c r="C96" s="10">
        <f t="shared" si="14"/>
        <v>28026.548999999999</v>
      </c>
      <c r="D96" s="12" t="str">
        <f t="shared" si="15"/>
        <v>vis</v>
      </c>
      <c r="E96" s="41">
        <f>VLOOKUP(C96,Active!C$21:E$968,3,FALSE)</f>
        <v>-11778.993830516953</v>
      </c>
      <c r="F96" s="15" t="s">
        <v>105</v>
      </c>
      <c r="G96" s="12" t="str">
        <f t="shared" si="16"/>
        <v>28026.549</v>
      </c>
      <c r="H96" s="10">
        <f t="shared" si="17"/>
        <v>-18807</v>
      </c>
      <c r="I96" s="42" t="s">
        <v>164</v>
      </c>
      <c r="J96" s="43" t="s">
        <v>165</v>
      </c>
      <c r="K96" s="42">
        <v>-18807</v>
      </c>
      <c r="L96" s="42" t="s">
        <v>166</v>
      </c>
      <c r="M96" s="43" t="s">
        <v>124</v>
      </c>
      <c r="N96" s="43"/>
      <c r="O96" s="44" t="s">
        <v>157</v>
      </c>
      <c r="P96" s="44" t="s">
        <v>158</v>
      </c>
    </row>
    <row r="97" spans="1:16" ht="12.75" customHeight="1" thickBot="1">
      <c r="A97" s="10" t="str">
        <f t="shared" si="12"/>
        <v> AN 259.189 </v>
      </c>
      <c r="B97" s="15" t="str">
        <f t="shared" si="13"/>
        <v>I</v>
      </c>
      <c r="C97" s="10">
        <f t="shared" si="14"/>
        <v>28036.5</v>
      </c>
      <c r="D97" s="12" t="str">
        <f t="shared" si="15"/>
        <v>vis</v>
      </c>
      <c r="E97" s="41">
        <f>VLOOKUP(C97,Active!C$21:E$968,3,FALSE)</f>
        <v>-11772.003107924504</v>
      </c>
      <c r="F97" s="15" t="s">
        <v>105</v>
      </c>
      <c r="G97" s="12" t="str">
        <f t="shared" si="16"/>
        <v>28036.500</v>
      </c>
      <c r="H97" s="10">
        <f t="shared" si="17"/>
        <v>-18800</v>
      </c>
      <c r="I97" s="42" t="s">
        <v>167</v>
      </c>
      <c r="J97" s="43" t="s">
        <v>168</v>
      </c>
      <c r="K97" s="42">
        <v>-18800</v>
      </c>
      <c r="L97" s="42" t="s">
        <v>169</v>
      </c>
      <c r="M97" s="43" t="s">
        <v>124</v>
      </c>
      <c r="N97" s="43"/>
      <c r="O97" s="44" t="s">
        <v>157</v>
      </c>
      <c r="P97" s="44" t="s">
        <v>158</v>
      </c>
    </row>
    <row r="98" spans="1:16" ht="12.75" customHeight="1" thickBot="1">
      <c r="A98" s="10" t="str">
        <f t="shared" si="12"/>
        <v> AN 259.189 </v>
      </c>
      <c r="B98" s="15" t="str">
        <f t="shared" si="13"/>
        <v>I</v>
      </c>
      <c r="C98" s="10">
        <f t="shared" si="14"/>
        <v>28066.409</v>
      </c>
      <c r="D98" s="12" t="str">
        <f t="shared" si="15"/>
        <v>vis</v>
      </c>
      <c r="E98" s="41">
        <f>VLOOKUP(C98,Active!C$21:E$968,3,FALSE)</f>
        <v>-11750.991599330644</v>
      </c>
      <c r="F98" s="15" t="s">
        <v>105</v>
      </c>
      <c r="G98" s="12" t="str">
        <f t="shared" si="16"/>
        <v>28066.409</v>
      </c>
      <c r="H98" s="10">
        <f t="shared" si="17"/>
        <v>-18779</v>
      </c>
      <c r="I98" s="42" t="s">
        <v>170</v>
      </c>
      <c r="J98" s="43" t="s">
        <v>171</v>
      </c>
      <c r="K98" s="42">
        <v>-18779</v>
      </c>
      <c r="L98" s="42" t="s">
        <v>172</v>
      </c>
      <c r="M98" s="43" t="s">
        <v>124</v>
      </c>
      <c r="N98" s="43"/>
      <c r="O98" s="44" t="s">
        <v>157</v>
      </c>
      <c r="P98" s="44" t="s">
        <v>158</v>
      </c>
    </row>
    <row r="99" spans="1:16" ht="12.75" customHeight="1" thickBot="1">
      <c r="A99" s="10" t="str">
        <f t="shared" si="12"/>
        <v> AN 259.189 </v>
      </c>
      <c r="B99" s="15" t="str">
        <f t="shared" si="13"/>
        <v>I</v>
      </c>
      <c r="C99" s="10">
        <f t="shared" si="14"/>
        <v>28076.375</v>
      </c>
      <c r="D99" s="12" t="str">
        <f t="shared" si="15"/>
        <v>vis</v>
      </c>
      <c r="E99" s="41">
        <f>VLOOKUP(C99,Active!C$21:E$968,3,FALSE)</f>
        <v>-11743.990339019485</v>
      </c>
      <c r="F99" s="15" t="s">
        <v>105</v>
      </c>
      <c r="G99" s="12" t="str">
        <f t="shared" si="16"/>
        <v>28076.375</v>
      </c>
      <c r="H99" s="10">
        <f t="shared" si="17"/>
        <v>-18772</v>
      </c>
      <c r="I99" s="42" t="s">
        <v>173</v>
      </c>
      <c r="J99" s="43" t="s">
        <v>174</v>
      </c>
      <c r="K99" s="42">
        <v>-18772</v>
      </c>
      <c r="L99" s="42" t="s">
        <v>117</v>
      </c>
      <c r="M99" s="43" t="s">
        <v>124</v>
      </c>
      <c r="N99" s="43"/>
      <c r="O99" s="44" t="s">
        <v>157</v>
      </c>
      <c r="P99" s="44" t="s">
        <v>158</v>
      </c>
    </row>
    <row r="100" spans="1:16" ht="12.75" customHeight="1" thickBot="1">
      <c r="A100" s="10" t="str">
        <f t="shared" si="12"/>
        <v> AN 259.189 </v>
      </c>
      <c r="B100" s="15" t="str">
        <f t="shared" si="13"/>
        <v>I</v>
      </c>
      <c r="C100" s="10">
        <f t="shared" si="14"/>
        <v>28106.269</v>
      </c>
      <c r="D100" s="12" t="str">
        <f t="shared" si="15"/>
        <v>vis</v>
      </c>
      <c r="E100" s="41">
        <f>VLOOKUP(C100,Active!C$21:E$968,3,FALSE)</f>
        <v>-11722.989368144335</v>
      </c>
      <c r="F100" s="15" t="s">
        <v>105</v>
      </c>
      <c r="G100" s="12" t="str">
        <f t="shared" si="16"/>
        <v>28106.269</v>
      </c>
      <c r="H100" s="10">
        <f t="shared" si="17"/>
        <v>-18751</v>
      </c>
      <c r="I100" s="42" t="s">
        <v>175</v>
      </c>
      <c r="J100" s="43" t="s">
        <v>176</v>
      </c>
      <c r="K100" s="42">
        <v>-18751</v>
      </c>
      <c r="L100" s="42" t="s">
        <v>123</v>
      </c>
      <c r="M100" s="43" t="s">
        <v>124</v>
      </c>
      <c r="N100" s="43"/>
      <c r="O100" s="44" t="s">
        <v>157</v>
      </c>
      <c r="P100" s="44" t="s">
        <v>158</v>
      </c>
    </row>
    <row r="101" spans="1:16" ht="12.75" customHeight="1" thickBot="1">
      <c r="A101" s="10" t="str">
        <f t="shared" si="12"/>
        <v> AN 259.189 </v>
      </c>
      <c r="B101" s="15" t="str">
        <f t="shared" si="13"/>
        <v>I</v>
      </c>
      <c r="C101" s="10">
        <f t="shared" si="14"/>
        <v>28109.135999999999</v>
      </c>
      <c r="D101" s="12" t="str">
        <f t="shared" si="15"/>
        <v>vis</v>
      </c>
      <c r="E101" s="41">
        <f>VLOOKUP(C101,Active!C$21:E$968,3,FALSE)</f>
        <v>-11720.975258841498</v>
      </c>
      <c r="F101" s="15" t="s">
        <v>105</v>
      </c>
      <c r="G101" s="12" t="str">
        <f t="shared" si="16"/>
        <v>28109.136</v>
      </c>
      <c r="H101" s="10">
        <f t="shared" si="17"/>
        <v>-18749</v>
      </c>
      <c r="I101" s="42" t="s">
        <v>177</v>
      </c>
      <c r="J101" s="43" t="s">
        <v>178</v>
      </c>
      <c r="K101" s="42">
        <v>-18749</v>
      </c>
      <c r="L101" s="42" t="s">
        <v>179</v>
      </c>
      <c r="M101" s="43" t="s">
        <v>124</v>
      </c>
      <c r="N101" s="43"/>
      <c r="O101" s="44" t="s">
        <v>157</v>
      </c>
      <c r="P101" s="44" t="s">
        <v>158</v>
      </c>
    </row>
    <row r="102" spans="1:16" ht="12.75" customHeight="1" thickBot="1">
      <c r="A102" s="10" t="str">
        <f t="shared" si="12"/>
        <v> AN 259.189 </v>
      </c>
      <c r="B102" s="15" t="str">
        <f t="shared" si="13"/>
        <v>I</v>
      </c>
      <c r="C102" s="10">
        <f t="shared" si="14"/>
        <v>28126.194</v>
      </c>
      <c r="D102" s="12" t="str">
        <f t="shared" si="15"/>
        <v>vis</v>
      </c>
      <c r="E102" s="41">
        <f>VLOOKUP(C102,Active!C$21:E$968,3,FALSE)</f>
        <v>-11708.991765124085</v>
      </c>
      <c r="F102" s="15" t="s">
        <v>105</v>
      </c>
      <c r="G102" s="12" t="str">
        <f t="shared" si="16"/>
        <v>28126.194</v>
      </c>
      <c r="H102" s="10">
        <f t="shared" si="17"/>
        <v>-18737</v>
      </c>
      <c r="I102" s="42" t="s">
        <v>180</v>
      </c>
      <c r="J102" s="43" t="s">
        <v>181</v>
      </c>
      <c r="K102" s="42">
        <v>-18737</v>
      </c>
      <c r="L102" s="42" t="s">
        <v>172</v>
      </c>
      <c r="M102" s="43" t="s">
        <v>124</v>
      </c>
      <c r="N102" s="43"/>
      <c r="O102" s="44" t="s">
        <v>157</v>
      </c>
      <c r="P102" s="44" t="s">
        <v>158</v>
      </c>
    </row>
    <row r="103" spans="1:16" ht="12.75" customHeight="1" thickBot="1">
      <c r="A103" s="10" t="str">
        <f t="shared" si="12"/>
        <v> BSAO 8.26 </v>
      </c>
      <c r="B103" s="15" t="str">
        <f t="shared" si="13"/>
        <v>I</v>
      </c>
      <c r="C103" s="10">
        <f t="shared" si="14"/>
        <v>29563.895</v>
      </c>
      <c r="D103" s="12" t="str">
        <f t="shared" si="15"/>
        <v>vis</v>
      </c>
      <c r="E103" s="41">
        <f>VLOOKUP(C103,Active!C$21:E$968,3,FALSE)</f>
        <v>-10698.985849951314</v>
      </c>
      <c r="F103" s="15" t="s">
        <v>105</v>
      </c>
      <c r="G103" s="12" t="str">
        <f t="shared" si="16"/>
        <v>29563.895</v>
      </c>
      <c r="H103" s="10">
        <f t="shared" si="17"/>
        <v>-17727</v>
      </c>
      <c r="I103" s="42" t="s">
        <v>182</v>
      </c>
      <c r="J103" s="43" t="s">
        <v>183</v>
      </c>
      <c r="K103" s="42">
        <v>-17727</v>
      </c>
      <c r="L103" s="42" t="s">
        <v>134</v>
      </c>
      <c r="M103" s="43" t="s">
        <v>108</v>
      </c>
      <c r="N103" s="43"/>
      <c r="O103" s="44" t="s">
        <v>184</v>
      </c>
      <c r="P103" s="44" t="s">
        <v>144</v>
      </c>
    </row>
    <row r="104" spans="1:16" ht="12.75" customHeight="1" thickBot="1">
      <c r="A104" s="10" t="str">
        <f t="shared" si="12"/>
        <v> IODE 4.1.164 </v>
      </c>
      <c r="B104" s="15" t="str">
        <f t="shared" si="13"/>
        <v>I</v>
      </c>
      <c r="C104" s="10">
        <f t="shared" si="14"/>
        <v>30607.308000000001</v>
      </c>
      <c r="D104" s="12" t="str">
        <f t="shared" si="15"/>
        <v>vis</v>
      </c>
      <c r="E104" s="41">
        <f>VLOOKUP(C104,Active!C$21:E$968,3,FALSE)</f>
        <v>-9965.9730037696918</v>
      </c>
      <c r="F104" s="15" t="s">
        <v>105</v>
      </c>
      <c r="G104" s="12" t="str">
        <f t="shared" si="16"/>
        <v>30607.308</v>
      </c>
      <c r="H104" s="10">
        <f t="shared" si="17"/>
        <v>-16994</v>
      </c>
      <c r="I104" s="42" t="s">
        <v>185</v>
      </c>
      <c r="J104" s="43" t="s">
        <v>186</v>
      </c>
      <c r="K104" s="42">
        <v>-16994</v>
      </c>
      <c r="L104" s="42" t="s">
        <v>187</v>
      </c>
      <c r="M104" s="43" t="s">
        <v>124</v>
      </c>
      <c r="N104" s="43"/>
      <c r="O104" s="44" t="s">
        <v>143</v>
      </c>
      <c r="P104" s="44" t="s">
        <v>148</v>
      </c>
    </row>
    <row r="105" spans="1:16" ht="12.75" customHeight="1" thickBot="1">
      <c r="A105" s="10" t="str">
        <f t="shared" si="12"/>
        <v> IODE 4.1.164 </v>
      </c>
      <c r="B105" s="15" t="str">
        <f t="shared" si="13"/>
        <v>I</v>
      </c>
      <c r="C105" s="10">
        <f t="shared" si="14"/>
        <v>30637.212</v>
      </c>
      <c r="D105" s="12" t="str">
        <f t="shared" si="15"/>
        <v>vis</v>
      </c>
      <c r="E105" s="41">
        <f>VLOOKUP(C105,Active!C$21:E$968,3,FALSE)</f>
        <v>-9944.9650077487349</v>
      </c>
      <c r="F105" s="15" t="s">
        <v>105</v>
      </c>
      <c r="G105" s="12" t="str">
        <f t="shared" si="16"/>
        <v>30637.212</v>
      </c>
      <c r="H105" s="10">
        <f t="shared" si="17"/>
        <v>-16973</v>
      </c>
      <c r="I105" s="42" t="s">
        <v>188</v>
      </c>
      <c r="J105" s="43" t="s">
        <v>189</v>
      </c>
      <c r="K105" s="42">
        <v>-16973</v>
      </c>
      <c r="L105" s="42" t="s">
        <v>137</v>
      </c>
      <c r="M105" s="43" t="s">
        <v>124</v>
      </c>
      <c r="N105" s="43"/>
      <c r="O105" s="44" t="s">
        <v>143</v>
      </c>
      <c r="P105" s="44" t="s">
        <v>148</v>
      </c>
    </row>
    <row r="106" spans="1:16" ht="12.75" customHeight="1" thickBot="1">
      <c r="A106" s="10" t="str">
        <f t="shared" si="12"/>
        <v> IODE 4.1.164 </v>
      </c>
      <c r="B106" s="15" t="str">
        <f t="shared" si="13"/>
        <v>I</v>
      </c>
      <c r="C106" s="10">
        <f t="shared" si="14"/>
        <v>30647.162</v>
      </c>
      <c r="D106" s="12" t="str">
        <f t="shared" si="15"/>
        <v>vis</v>
      </c>
      <c r="E106" s="41">
        <f>VLOOKUP(C106,Active!C$21:E$968,3,FALSE)</f>
        <v>-9937.9749876708684</v>
      </c>
      <c r="F106" s="15" t="s">
        <v>105</v>
      </c>
      <c r="G106" s="12" t="str">
        <f t="shared" si="16"/>
        <v>30647.162</v>
      </c>
      <c r="H106" s="10">
        <f t="shared" si="17"/>
        <v>-16966</v>
      </c>
      <c r="I106" s="42" t="s">
        <v>190</v>
      </c>
      <c r="J106" s="43" t="s">
        <v>191</v>
      </c>
      <c r="K106" s="42">
        <v>-16966</v>
      </c>
      <c r="L106" s="42" t="s">
        <v>192</v>
      </c>
      <c r="M106" s="43" t="s">
        <v>124</v>
      </c>
      <c r="N106" s="43"/>
      <c r="O106" s="44" t="s">
        <v>143</v>
      </c>
      <c r="P106" s="44" t="s">
        <v>148</v>
      </c>
    </row>
    <row r="107" spans="1:16" ht="12.75" customHeight="1" thickBot="1">
      <c r="A107" s="10" t="str">
        <f t="shared" ref="A107:A128" si="18">P107</f>
        <v> BSAO 8.26 </v>
      </c>
      <c r="B107" s="15" t="str">
        <f t="shared" ref="B107:B128" si="19">IF(H107=INT(H107),"I","II")</f>
        <v>I</v>
      </c>
      <c r="C107" s="10">
        <f t="shared" ref="C107:C128" si="20">1*G107</f>
        <v>32017.955999999998</v>
      </c>
      <c r="D107" s="12" t="str">
        <f t="shared" ref="D107:D128" si="21">VLOOKUP(F107,I$1:J$5,2,FALSE)</f>
        <v>vis</v>
      </c>
      <c r="E107" s="41">
        <f>VLOOKUP(C107,Active!C$21:E$968,3,FALSE)</f>
        <v>-8974.9722155483341</v>
      </c>
      <c r="F107" s="15" t="s">
        <v>105</v>
      </c>
      <c r="G107" s="12" t="str">
        <f t="shared" ref="G107:G128" si="22">MID(I107,3,LEN(I107)-3)</f>
        <v>32017.956</v>
      </c>
      <c r="H107" s="10">
        <f t="shared" ref="H107:H128" si="23">1*K107</f>
        <v>-16003</v>
      </c>
      <c r="I107" s="42" t="s">
        <v>193</v>
      </c>
      <c r="J107" s="43" t="s">
        <v>194</v>
      </c>
      <c r="K107" s="42">
        <v>-16003</v>
      </c>
      <c r="L107" s="42" t="s">
        <v>192</v>
      </c>
      <c r="M107" s="43" t="s">
        <v>108</v>
      </c>
      <c r="N107" s="43"/>
      <c r="O107" s="44" t="s">
        <v>184</v>
      </c>
      <c r="P107" s="44" t="s">
        <v>144</v>
      </c>
    </row>
    <row r="108" spans="1:16" ht="12.75" customHeight="1" thickBot="1">
      <c r="A108" s="10" t="str">
        <f t="shared" si="18"/>
        <v> PZ 10.333 </v>
      </c>
      <c r="B108" s="15" t="str">
        <f t="shared" si="19"/>
        <v>I</v>
      </c>
      <c r="C108" s="10">
        <f t="shared" si="20"/>
        <v>34732.508999999998</v>
      </c>
      <c r="D108" s="12" t="str">
        <f t="shared" si="21"/>
        <v>vis</v>
      </c>
      <c r="E108" s="41">
        <f>VLOOKUP(C108,Active!C$21:E$968,3,FALSE)</f>
        <v>-7067.95915299222</v>
      </c>
      <c r="F108" s="15" t="s">
        <v>105</v>
      </c>
      <c r="G108" s="12" t="str">
        <f t="shared" si="22"/>
        <v>34732.509</v>
      </c>
      <c r="H108" s="10">
        <f t="shared" si="23"/>
        <v>-14096</v>
      </c>
      <c r="I108" s="42" t="s">
        <v>195</v>
      </c>
      <c r="J108" s="43" t="s">
        <v>196</v>
      </c>
      <c r="K108" s="42">
        <v>-14096</v>
      </c>
      <c r="L108" s="42" t="s">
        <v>197</v>
      </c>
      <c r="M108" s="43" t="s">
        <v>108</v>
      </c>
      <c r="N108" s="43"/>
      <c r="O108" s="44" t="s">
        <v>184</v>
      </c>
      <c r="P108" s="44" t="s">
        <v>198</v>
      </c>
    </row>
    <row r="109" spans="1:16" ht="12.75" customHeight="1" thickBot="1">
      <c r="A109" s="10" t="str">
        <f t="shared" si="18"/>
        <v> AOEB 9 </v>
      </c>
      <c r="B109" s="15" t="str">
        <f t="shared" si="19"/>
        <v>I</v>
      </c>
      <c r="C109" s="10">
        <f t="shared" si="20"/>
        <v>43069.66</v>
      </c>
      <c r="D109" s="12" t="str">
        <f t="shared" si="21"/>
        <v>vis</v>
      </c>
      <c r="E109" s="41">
        <f>VLOOKUP(C109,Active!C$21:E$968,3,FALSE)</f>
        <v>-1210.989014076983</v>
      </c>
      <c r="F109" s="15" t="s">
        <v>105</v>
      </c>
      <c r="G109" s="12" t="str">
        <f t="shared" si="22"/>
        <v>43069.660</v>
      </c>
      <c r="H109" s="10">
        <f t="shared" si="23"/>
        <v>-8239</v>
      </c>
      <c r="I109" s="42" t="s">
        <v>261</v>
      </c>
      <c r="J109" s="43" t="s">
        <v>262</v>
      </c>
      <c r="K109" s="42">
        <v>-8239</v>
      </c>
      <c r="L109" s="42" t="s">
        <v>225</v>
      </c>
      <c r="M109" s="43" t="s">
        <v>124</v>
      </c>
      <c r="N109" s="43"/>
      <c r="O109" s="44" t="s">
        <v>263</v>
      </c>
      <c r="P109" s="44" t="s">
        <v>264</v>
      </c>
    </row>
    <row r="110" spans="1:16" ht="12.75" customHeight="1" thickBot="1">
      <c r="A110" s="10" t="str">
        <f t="shared" si="18"/>
        <v> AOEB 9 </v>
      </c>
      <c r="B110" s="15" t="str">
        <f t="shared" si="19"/>
        <v>I</v>
      </c>
      <c r="C110" s="10">
        <f t="shared" si="20"/>
        <v>44101.656999999999</v>
      </c>
      <c r="D110" s="12" t="str">
        <f t="shared" si="21"/>
        <v>vis</v>
      </c>
      <c r="E110" s="41">
        <f>VLOOKUP(C110,Active!C$21:E$968,3,FALSE)</f>
        <v>-485.99607434852192</v>
      </c>
      <c r="F110" s="15" t="s">
        <v>105</v>
      </c>
      <c r="G110" s="12" t="str">
        <f t="shared" si="22"/>
        <v>44101.657</v>
      </c>
      <c r="H110" s="10">
        <f t="shared" si="23"/>
        <v>-7514</v>
      </c>
      <c r="I110" s="42" t="s">
        <v>290</v>
      </c>
      <c r="J110" s="43" t="s">
        <v>291</v>
      </c>
      <c r="K110" s="42">
        <v>-7514</v>
      </c>
      <c r="L110" s="42" t="s">
        <v>285</v>
      </c>
      <c r="M110" s="43" t="s">
        <v>124</v>
      </c>
      <c r="N110" s="43"/>
      <c r="O110" s="44" t="s">
        <v>263</v>
      </c>
      <c r="P110" s="44" t="s">
        <v>264</v>
      </c>
    </row>
    <row r="111" spans="1:16" ht="12.75" customHeight="1" thickBot="1">
      <c r="A111" s="10" t="str">
        <f t="shared" si="18"/>
        <v> AOEB 9 </v>
      </c>
      <c r="B111" s="15" t="str">
        <f t="shared" si="19"/>
        <v>I</v>
      </c>
      <c r="C111" s="10">
        <f t="shared" si="20"/>
        <v>45264.627999999997</v>
      </c>
      <c r="D111" s="12" t="str">
        <f t="shared" si="21"/>
        <v>vis</v>
      </c>
      <c r="E111" s="41">
        <f>VLOOKUP(C111,Active!C$21:E$968,3,FALSE)</f>
        <v>331.00801007124869</v>
      </c>
      <c r="F111" s="15" t="s">
        <v>105</v>
      </c>
      <c r="G111" s="12" t="str">
        <f t="shared" si="22"/>
        <v>45264.628</v>
      </c>
      <c r="H111" s="10">
        <f t="shared" si="23"/>
        <v>-6697</v>
      </c>
      <c r="I111" s="42" t="s">
        <v>344</v>
      </c>
      <c r="J111" s="43" t="s">
        <v>345</v>
      </c>
      <c r="K111" s="42">
        <v>-6697</v>
      </c>
      <c r="L111" s="42" t="s">
        <v>346</v>
      </c>
      <c r="M111" s="43" t="s">
        <v>124</v>
      </c>
      <c r="N111" s="43"/>
      <c r="O111" s="44" t="s">
        <v>263</v>
      </c>
      <c r="P111" s="44" t="s">
        <v>264</v>
      </c>
    </row>
    <row r="112" spans="1:16" ht="12.75" customHeight="1" thickBot="1">
      <c r="A112" s="10" t="str">
        <f t="shared" si="18"/>
        <v> AOEB 9 </v>
      </c>
      <c r="B112" s="15" t="str">
        <f t="shared" si="19"/>
        <v>I</v>
      </c>
      <c r="C112" s="10">
        <f t="shared" si="20"/>
        <v>45876.718999999997</v>
      </c>
      <c r="D112" s="12" t="str">
        <f t="shared" si="21"/>
        <v>vis</v>
      </c>
      <c r="E112" s="41">
        <f>VLOOKUP(C112,Active!C$21:E$968,3,FALSE)</f>
        <v>761.01086228044653</v>
      </c>
      <c r="F112" s="15" t="s">
        <v>105</v>
      </c>
      <c r="G112" s="12" t="str">
        <f t="shared" si="22"/>
        <v>45876.719</v>
      </c>
      <c r="H112" s="10">
        <f t="shared" si="23"/>
        <v>-6267</v>
      </c>
      <c r="I112" s="42" t="s">
        <v>356</v>
      </c>
      <c r="J112" s="43" t="s">
        <v>357</v>
      </c>
      <c r="K112" s="42">
        <v>-6267</v>
      </c>
      <c r="L112" s="42" t="s">
        <v>358</v>
      </c>
      <c r="M112" s="43" t="s">
        <v>124</v>
      </c>
      <c r="N112" s="43"/>
      <c r="O112" s="44" t="s">
        <v>263</v>
      </c>
      <c r="P112" s="44" t="s">
        <v>264</v>
      </c>
    </row>
    <row r="113" spans="1:16" ht="12.75" customHeight="1" thickBot="1">
      <c r="A113" s="10" t="str">
        <f t="shared" si="18"/>
        <v> AOEB 9 </v>
      </c>
      <c r="B113" s="15" t="str">
        <f t="shared" si="19"/>
        <v>I</v>
      </c>
      <c r="C113" s="10">
        <f t="shared" si="20"/>
        <v>47465.281999999999</v>
      </c>
      <c r="D113" s="12" t="str">
        <f t="shared" si="21"/>
        <v>vis</v>
      </c>
      <c r="E113" s="41">
        <f>VLOOKUP(C113,Active!C$21:E$968,3,FALSE)</f>
        <v>1876.9995321252907</v>
      </c>
      <c r="F113" s="15" t="s">
        <v>105</v>
      </c>
      <c r="G113" s="12" t="str">
        <f t="shared" si="22"/>
        <v>47465.282</v>
      </c>
      <c r="H113" s="10">
        <f t="shared" si="23"/>
        <v>-5151</v>
      </c>
      <c r="I113" s="42" t="s">
        <v>393</v>
      </c>
      <c r="J113" s="43" t="s">
        <v>394</v>
      </c>
      <c r="K113" s="42">
        <v>-5151</v>
      </c>
      <c r="L113" s="42" t="s">
        <v>395</v>
      </c>
      <c r="M113" s="43" t="s">
        <v>124</v>
      </c>
      <c r="N113" s="43"/>
      <c r="O113" s="44" t="s">
        <v>263</v>
      </c>
      <c r="P113" s="44" t="s">
        <v>264</v>
      </c>
    </row>
    <row r="114" spans="1:16" ht="12.75" customHeight="1" thickBot="1">
      <c r="A114" s="10" t="str">
        <f t="shared" si="18"/>
        <v> AOEB 9 </v>
      </c>
      <c r="B114" s="15" t="str">
        <f t="shared" si="19"/>
        <v>I</v>
      </c>
      <c r="C114" s="10">
        <f t="shared" si="20"/>
        <v>47688.777999999998</v>
      </c>
      <c r="D114" s="12" t="str">
        <f t="shared" si="21"/>
        <v>vis</v>
      </c>
      <c r="E114" s="41">
        <f>VLOOKUP(C114,Active!C$21:E$968,3,FALSE)</f>
        <v>2034.0087308512095</v>
      </c>
      <c r="F114" s="15" t="s">
        <v>105</v>
      </c>
      <c r="G114" s="12" t="str">
        <f t="shared" si="22"/>
        <v>47688.778</v>
      </c>
      <c r="H114" s="10">
        <f t="shared" si="23"/>
        <v>-4994</v>
      </c>
      <c r="I114" s="42" t="s">
        <v>396</v>
      </c>
      <c r="J114" s="43" t="s">
        <v>397</v>
      </c>
      <c r="K114" s="42">
        <v>-4994</v>
      </c>
      <c r="L114" s="42" t="s">
        <v>282</v>
      </c>
      <c r="M114" s="43" t="s">
        <v>124</v>
      </c>
      <c r="N114" s="43"/>
      <c r="O114" s="44" t="s">
        <v>263</v>
      </c>
      <c r="P114" s="44" t="s">
        <v>264</v>
      </c>
    </row>
    <row r="115" spans="1:16" ht="12.75" customHeight="1" thickBot="1">
      <c r="A115" s="10" t="str">
        <f t="shared" si="18"/>
        <v> AOEB 9 </v>
      </c>
      <c r="B115" s="15" t="str">
        <f t="shared" si="19"/>
        <v>I</v>
      </c>
      <c r="C115" s="10">
        <f t="shared" si="20"/>
        <v>50723.586000000003</v>
      </c>
      <c r="D115" s="12" t="str">
        <f t="shared" si="21"/>
        <v>vis</v>
      </c>
      <c r="E115" s="41">
        <f>VLOOKUP(C115,Active!C$21:E$968,3,FALSE)</f>
        <v>4166.0056004462413</v>
      </c>
      <c r="F115" s="15" t="s">
        <v>105</v>
      </c>
      <c r="G115" s="12" t="str">
        <f t="shared" si="22"/>
        <v>50723.586</v>
      </c>
      <c r="H115" s="10">
        <f t="shared" si="23"/>
        <v>-2862</v>
      </c>
      <c r="I115" s="42" t="s">
        <v>416</v>
      </c>
      <c r="J115" s="43" t="s">
        <v>417</v>
      </c>
      <c r="K115" s="42">
        <v>-2862</v>
      </c>
      <c r="L115" s="42" t="s">
        <v>418</v>
      </c>
      <c r="M115" s="43" t="s">
        <v>124</v>
      </c>
      <c r="N115" s="43"/>
      <c r="O115" s="44" t="s">
        <v>419</v>
      </c>
      <c r="P115" s="44" t="s">
        <v>264</v>
      </c>
    </row>
    <row r="116" spans="1:16" ht="12.75" customHeight="1" thickBot="1">
      <c r="A116" s="10" t="str">
        <f t="shared" si="18"/>
        <v> AOEB 9 </v>
      </c>
      <c r="B116" s="15" t="str">
        <f t="shared" si="19"/>
        <v>I</v>
      </c>
      <c r="C116" s="10">
        <f t="shared" si="20"/>
        <v>51486.557000000001</v>
      </c>
      <c r="D116" s="12" t="str">
        <f t="shared" si="21"/>
        <v>vis</v>
      </c>
      <c r="E116" s="41">
        <f>VLOOKUP(C116,Active!C$21:E$968,3,FALSE)</f>
        <v>4702.0038525899636</v>
      </c>
      <c r="F116" s="15" t="s">
        <v>105</v>
      </c>
      <c r="G116" s="12" t="str">
        <f t="shared" si="22"/>
        <v>51486.557</v>
      </c>
      <c r="H116" s="10">
        <f t="shared" si="23"/>
        <v>-2326</v>
      </c>
      <c r="I116" s="42" t="s">
        <v>420</v>
      </c>
      <c r="J116" s="43" t="s">
        <v>421</v>
      </c>
      <c r="K116" s="42">
        <v>-2326</v>
      </c>
      <c r="L116" s="42" t="s">
        <v>422</v>
      </c>
      <c r="M116" s="43" t="s">
        <v>124</v>
      </c>
      <c r="N116" s="43"/>
      <c r="O116" s="44" t="s">
        <v>263</v>
      </c>
      <c r="P116" s="44" t="s">
        <v>264</v>
      </c>
    </row>
    <row r="117" spans="1:16" ht="12.75" customHeight="1" thickBot="1">
      <c r="A117" s="10" t="str">
        <f t="shared" si="18"/>
        <v>VSB 38 </v>
      </c>
      <c r="B117" s="15" t="str">
        <f t="shared" si="19"/>
        <v>I</v>
      </c>
      <c r="C117" s="10">
        <f t="shared" si="20"/>
        <v>51734.235000000001</v>
      </c>
      <c r="D117" s="12" t="str">
        <f t="shared" si="21"/>
        <v>vis</v>
      </c>
      <c r="E117" s="41">
        <f>VLOOKUP(C117,Active!C$21:E$968,3,FALSE)</f>
        <v>4876.0012589061307</v>
      </c>
      <c r="F117" s="15" t="s">
        <v>105</v>
      </c>
      <c r="G117" s="12" t="str">
        <f t="shared" si="22"/>
        <v>51734.235</v>
      </c>
      <c r="H117" s="10">
        <f t="shared" si="23"/>
        <v>-2152</v>
      </c>
      <c r="I117" s="42" t="s">
        <v>423</v>
      </c>
      <c r="J117" s="43" t="s">
        <v>424</v>
      </c>
      <c r="K117" s="42">
        <v>-2152</v>
      </c>
      <c r="L117" s="42" t="s">
        <v>373</v>
      </c>
      <c r="M117" s="43" t="s">
        <v>124</v>
      </c>
      <c r="N117" s="43"/>
      <c r="O117" s="44" t="s">
        <v>425</v>
      </c>
      <c r="P117" s="45" t="s">
        <v>426</v>
      </c>
    </row>
    <row r="118" spans="1:16" ht="12.75" customHeight="1" thickBot="1">
      <c r="A118" s="10" t="str">
        <f t="shared" si="18"/>
        <v> AOEB 9 </v>
      </c>
      <c r="B118" s="15" t="str">
        <f t="shared" si="19"/>
        <v>I</v>
      </c>
      <c r="C118" s="10">
        <f t="shared" si="20"/>
        <v>52182.621299999999</v>
      </c>
      <c r="D118" s="12" t="str">
        <f t="shared" si="21"/>
        <v>vis</v>
      </c>
      <c r="E118" s="41">
        <f>VLOOKUP(C118,Active!C$21:E$968,3,FALSE)</f>
        <v>5190.9991724378251</v>
      </c>
      <c r="F118" s="15" t="s">
        <v>105</v>
      </c>
      <c r="G118" s="12" t="str">
        <f t="shared" si="22"/>
        <v>52182.6213</v>
      </c>
      <c r="H118" s="10">
        <f t="shared" si="23"/>
        <v>-1837</v>
      </c>
      <c r="I118" s="42" t="s">
        <v>427</v>
      </c>
      <c r="J118" s="43" t="s">
        <v>428</v>
      </c>
      <c r="K118" s="42">
        <v>-1837</v>
      </c>
      <c r="L118" s="42" t="s">
        <v>429</v>
      </c>
      <c r="M118" s="43" t="s">
        <v>430</v>
      </c>
      <c r="N118" s="43" t="s">
        <v>431</v>
      </c>
      <c r="O118" s="44" t="s">
        <v>263</v>
      </c>
      <c r="P118" s="44" t="s">
        <v>264</v>
      </c>
    </row>
    <row r="119" spans="1:16" ht="12.75" customHeight="1" thickBot="1">
      <c r="A119" s="10" t="str">
        <f t="shared" si="18"/>
        <v>VSB 39 </v>
      </c>
      <c r="B119" s="15" t="str">
        <f t="shared" si="19"/>
        <v>I</v>
      </c>
      <c r="C119" s="10">
        <f t="shared" si="20"/>
        <v>52223.902000000002</v>
      </c>
      <c r="D119" s="12" t="str">
        <f t="shared" si="21"/>
        <v>vis</v>
      </c>
      <c r="E119" s="41">
        <f>VLOOKUP(C119,Active!C$21:E$968,3,FALSE)</f>
        <v>5219.9994660889224</v>
      </c>
      <c r="F119" s="15" t="s">
        <v>105</v>
      </c>
      <c r="G119" s="12" t="str">
        <f t="shared" si="22"/>
        <v>52223.902</v>
      </c>
      <c r="H119" s="10">
        <f t="shared" si="23"/>
        <v>-1808</v>
      </c>
      <c r="I119" s="42" t="s">
        <v>432</v>
      </c>
      <c r="J119" s="43" t="s">
        <v>433</v>
      </c>
      <c r="K119" s="42">
        <v>-1808</v>
      </c>
      <c r="L119" s="42" t="s">
        <v>411</v>
      </c>
      <c r="M119" s="43" t="s">
        <v>124</v>
      </c>
      <c r="N119" s="43"/>
      <c r="O119" s="44" t="s">
        <v>425</v>
      </c>
      <c r="P119" s="45" t="s">
        <v>434</v>
      </c>
    </row>
    <row r="120" spans="1:16" ht="12.75" customHeight="1" thickBot="1">
      <c r="A120" s="10" t="str">
        <f t="shared" si="18"/>
        <v> AOEB 9 </v>
      </c>
      <c r="B120" s="15" t="str">
        <f t="shared" si="19"/>
        <v>I</v>
      </c>
      <c r="C120" s="10">
        <f t="shared" si="20"/>
        <v>52448.809000000001</v>
      </c>
      <c r="D120" s="12" t="str">
        <f t="shared" si="21"/>
        <v>vis</v>
      </c>
      <c r="E120" s="41">
        <f>VLOOKUP(C120,Active!C$21:E$968,3,FALSE)</f>
        <v>5377.9999128881946</v>
      </c>
      <c r="F120" s="15" t="s">
        <v>105</v>
      </c>
      <c r="G120" s="12" t="str">
        <f t="shared" si="22"/>
        <v>52448.8090</v>
      </c>
      <c r="H120" s="10">
        <f t="shared" si="23"/>
        <v>-1650</v>
      </c>
      <c r="I120" s="42" t="s">
        <v>435</v>
      </c>
      <c r="J120" s="43" t="s">
        <v>436</v>
      </c>
      <c r="K120" s="42">
        <v>-1650</v>
      </c>
      <c r="L120" s="42" t="s">
        <v>437</v>
      </c>
      <c r="M120" s="43" t="s">
        <v>430</v>
      </c>
      <c r="N120" s="43" t="s">
        <v>431</v>
      </c>
      <c r="O120" s="44" t="s">
        <v>263</v>
      </c>
      <c r="P120" s="44" t="s">
        <v>264</v>
      </c>
    </row>
    <row r="121" spans="1:16" ht="12.75" customHeight="1" thickBot="1">
      <c r="A121" s="10" t="str">
        <f t="shared" si="18"/>
        <v> AOEB 9 </v>
      </c>
      <c r="B121" s="15" t="str">
        <f t="shared" si="19"/>
        <v>I</v>
      </c>
      <c r="C121" s="10">
        <f t="shared" si="20"/>
        <v>52468.736499999999</v>
      </c>
      <c r="D121" s="12" t="str">
        <f t="shared" si="21"/>
        <v>vis</v>
      </c>
      <c r="E121" s="41">
        <f>VLOOKUP(C121,Active!C$21:E$968,3,FALSE)</f>
        <v>5391.9992721948956</v>
      </c>
      <c r="F121" s="15" t="s">
        <v>105</v>
      </c>
      <c r="G121" s="12" t="str">
        <f t="shared" si="22"/>
        <v>52468.7365</v>
      </c>
      <c r="H121" s="10">
        <f t="shared" si="23"/>
        <v>-1636</v>
      </c>
      <c r="I121" s="42" t="s">
        <v>438</v>
      </c>
      <c r="J121" s="43" t="s">
        <v>439</v>
      </c>
      <c r="K121" s="42">
        <v>-1636</v>
      </c>
      <c r="L121" s="42" t="s">
        <v>440</v>
      </c>
      <c r="M121" s="43" t="s">
        <v>430</v>
      </c>
      <c r="N121" s="43" t="s">
        <v>431</v>
      </c>
      <c r="O121" s="44" t="s">
        <v>441</v>
      </c>
      <c r="P121" s="44" t="s">
        <v>264</v>
      </c>
    </row>
    <row r="122" spans="1:16" ht="12.75" customHeight="1" thickBot="1">
      <c r="A122" s="10" t="str">
        <f t="shared" si="18"/>
        <v> AOEB 9 </v>
      </c>
      <c r="B122" s="15" t="str">
        <f t="shared" si="19"/>
        <v>I</v>
      </c>
      <c r="C122" s="10">
        <f t="shared" si="20"/>
        <v>52525.674700000003</v>
      </c>
      <c r="D122" s="12" t="str">
        <f t="shared" si="21"/>
        <v>vis</v>
      </c>
      <c r="E122" s="41">
        <f>VLOOKUP(C122,Active!C$21:E$968,3,FALSE)</f>
        <v>5431.9991878931496</v>
      </c>
      <c r="F122" s="15" t="s">
        <v>105</v>
      </c>
      <c r="G122" s="12" t="str">
        <f t="shared" si="22"/>
        <v>52525.6747</v>
      </c>
      <c r="H122" s="10">
        <f t="shared" si="23"/>
        <v>-1596</v>
      </c>
      <c r="I122" s="42" t="s">
        <v>448</v>
      </c>
      <c r="J122" s="43" t="s">
        <v>449</v>
      </c>
      <c r="K122" s="42">
        <v>-1596</v>
      </c>
      <c r="L122" s="42" t="s">
        <v>450</v>
      </c>
      <c r="M122" s="43" t="s">
        <v>430</v>
      </c>
      <c r="N122" s="43" t="s">
        <v>431</v>
      </c>
      <c r="O122" s="44" t="s">
        <v>441</v>
      </c>
      <c r="P122" s="44" t="s">
        <v>264</v>
      </c>
    </row>
    <row r="123" spans="1:16" ht="12.75" customHeight="1" thickBot="1">
      <c r="A123" s="10" t="str">
        <f t="shared" si="18"/>
        <v> AOEB 9 </v>
      </c>
      <c r="B123" s="15" t="str">
        <f t="shared" si="19"/>
        <v>I</v>
      </c>
      <c r="C123" s="10">
        <f t="shared" si="20"/>
        <v>52861.614000000001</v>
      </c>
      <c r="D123" s="12" t="str">
        <f t="shared" si="21"/>
        <v>vis</v>
      </c>
      <c r="E123" s="41">
        <f>VLOOKUP(C123,Active!C$21:E$968,3,FALSE)</f>
        <v>5668.0014443699811</v>
      </c>
      <c r="F123" s="15" t="s">
        <v>105</v>
      </c>
      <c r="G123" s="12" t="str">
        <f t="shared" si="22"/>
        <v>52861.6140</v>
      </c>
      <c r="H123" s="10">
        <f t="shared" si="23"/>
        <v>-1360</v>
      </c>
      <c r="I123" s="42" t="s">
        <v>451</v>
      </c>
      <c r="J123" s="43" t="s">
        <v>452</v>
      </c>
      <c r="K123" s="42">
        <v>-1360</v>
      </c>
      <c r="L123" s="42" t="s">
        <v>453</v>
      </c>
      <c r="M123" s="43" t="s">
        <v>430</v>
      </c>
      <c r="N123" s="43" t="s">
        <v>431</v>
      </c>
      <c r="O123" s="44" t="s">
        <v>454</v>
      </c>
      <c r="P123" s="44" t="s">
        <v>264</v>
      </c>
    </row>
    <row r="124" spans="1:16" ht="12.75" customHeight="1" thickBot="1">
      <c r="A124" s="10" t="str">
        <f t="shared" si="18"/>
        <v>VSB 43 </v>
      </c>
      <c r="B124" s="15" t="str">
        <f t="shared" si="19"/>
        <v>I</v>
      </c>
      <c r="C124" s="10">
        <f t="shared" si="20"/>
        <v>53196.125699999997</v>
      </c>
      <c r="D124" s="12" t="str">
        <f t="shared" si="21"/>
        <v>vis</v>
      </c>
      <c r="E124" s="41">
        <f>VLOOKUP(C124,Active!C$21:E$968,3,FALSE)</f>
        <v>5903.000791031418</v>
      </c>
      <c r="F124" s="15" t="s">
        <v>105</v>
      </c>
      <c r="G124" s="12" t="str">
        <f t="shared" si="22"/>
        <v>53196.1257</v>
      </c>
      <c r="H124" s="10">
        <f t="shared" si="23"/>
        <v>-1125</v>
      </c>
      <c r="I124" s="42" t="s">
        <v>455</v>
      </c>
      <c r="J124" s="43" t="s">
        <v>456</v>
      </c>
      <c r="K124" s="42">
        <v>-1125</v>
      </c>
      <c r="L124" s="42" t="s">
        <v>457</v>
      </c>
      <c r="M124" s="43" t="s">
        <v>444</v>
      </c>
      <c r="N124" s="43" t="s">
        <v>445</v>
      </c>
      <c r="O124" s="44" t="s">
        <v>458</v>
      </c>
      <c r="P124" s="45" t="s">
        <v>459</v>
      </c>
    </row>
    <row r="125" spans="1:16" ht="12.75" customHeight="1" thickBot="1">
      <c r="A125" s="10" t="str">
        <f t="shared" si="18"/>
        <v> AOEB 12 </v>
      </c>
      <c r="B125" s="15" t="str">
        <f t="shared" si="19"/>
        <v>I</v>
      </c>
      <c r="C125" s="10">
        <f t="shared" si="20"/>
        <v>53251.639300000003</v>
      </c>
      <c r="D125" s="12" t="str">
        <f t="shared" si="21"/>
        <v>vis</v>
      </c>
      <c r="E125" s="41">
        <f>VLOOKUP(C125,Active!C$21:E$968,3,FALSE)</f>
        <v>5941.9999044580209</v>
      </c>
      <c r="F125" s="15" t="s">
        <v>105</v>
      </c>
      <c r="G125" s="12" t="str">
        <f t="shared" si="22"/>
        <v>53251.6393</v>
      </c>
      <c r="H125" s="10">
        <f t="shared" si="23"/>
        <v>-1086</v>
      </c>
      <c r="I125" s="42" t="s">
        <v>460</v>
      </c>
      <c r="J125" s="43" t="s">
        <v>461</v>
      </c>
      <c r="K125" s="42">
        <v>-1086</v>
      </c>
      <c r="L125" s="42" t="s">
        <v>462</v>
      </c>
      <c r="M125" s="43" t="s">
        <v>430</v>
      </c>
      <c r="N125" s="43" t="s">
        <v>431</v>
      </c>
      <c r="O125" s="44" t="s">
        <v>263</v>
      </c>
      <c r="P125" s="44" t="s">
        <v>463</v>
      </c>
    </row>
    <row r="126" spans="1:16" ht="12.75" customHeight="1" thickBot="1">
      <c r="A126" s="10" t="str">
        <f t="shared" si="18"/>
        <v> AOEB 12 </v>
      </c>
      <c r="B126" s="15" t="str">
        <f t="shared" si="19"/>
        <v>I</v>
      </c>
      <c r="C126" s="10">
        <f t="shared" si="20"/>
        <v>53624.584199999998</v>
      </c>
      <c r="D126" s="12" t="str">
        <f t="shared" si="21"/>
        <v>vis</v>
      </c>
      <c r="E126" s="41">
        <f>VLOOKUP(C126,Active!C$21:E$968,3,FALSE)</f>
        <v>6203.9991345020371</v>
      </c>
      <c r="F126" s="15" t="s">
        <v>105</v>
      </c>
      <c r="G126" s="12" t="str">
        <f t="shared" si="22"/>
        <v>53624.5842</v>
      </c>
      <c r="H126" s="10">
        <f t="shared" si="23"/>
        <v>-824</v>
      </c>
      <c r="I126" s="42" t="s">
        <v>464</v>
      </c>
      <c r="J126" s="43" t="s">
        <v>465</v>
      </c>
      <c r="K126" s="42">
        <v>-824</v>
      </c>
      <c r="L126" s="42" t="s">
        <v>466</v>
      </c>
      <c r="M126" s="43" t="s">
        <v>430</v>
      </c>
      <c r="N126" s="43" t="s">
        <v>431</v>
      </c>
      <c r="O126" s="44" t="s">
        <v>263</v>
      </c>
      <c r="P126" s="44" t="s">
        <v>463</v>
      </c>
    </row>
    <row r="127" spans="1:16" ht="12.75" customHeight="1" thickBot="1">
      <c r="A127" s="10" t="str">
        <f t="shared" si="18"/>
        <v> AOEB 12 </v>
      </c>
      <c r="B127" s="15" t="str">
        <f t="shared" si="19"/>
        <v>I</v>
      </c>
      <c r="C127" s="10">
        <f t="shared" si="20"/>
        <v>54310.695699999997</v>
      </c>
      <c r="D127" s="12" t="str">
        <f t="shared" si="21"/>
        <v>vis</v>
      </c>
      <c r="E127" s="41">
        <f>VLOOKUP(C127,Active!C$21:E$968,3,FALSE)</f>
        <v>6686.0024672312074</v>
      </c>
      <c r="F127" s="15" t="s">
        <v>105</v>
      </c>
      <c r="G127" s="12" t="str">
        <f t="shared" si="22"/>
        <v>54310.6957</v>
      </c>
      <c r="H127" s="10">
        <f t="shared" si="23"/>
        <v>-342</v>
      </c>
      <c r="I127" s="42" t="s">
        <v>473</v>
      </c>
      <c r="J127" s="43" t="s">
        <v>474</v>
      </c>
      <c r="K127" s="42">
        <v>-342</v>
      </c>
      <c r="L127" s="42" t="s">
        <v>475</v>
      </c>
      <c r="M127" s="43" t="s">
        <v>430</v>
      </c>
      <c r="N127" s="43" t="s">
        <v>431</v>
      </c>
      <c r="O127" s="44" t="s">
        <v>263</v>
      </c>
      <c r="P127" s="44" t="s">
        <v>463</v>
      </c>
    </row>
    <row r="128" spans="1:16" ht="12.75" customHeight="1" thickBot="1">
      <c r="A128" s="10" t="str">
        <f t="shared" si="18"/>
        <v>BAVM 225 </v>
      </c>
      <c r="B128" s="15" t="str">
        <f t="shared" si="19"/>
        <v>I</v>
      </c>
      <c r="C128" s="10">
        <f t="shared" si="20"/>
        <v>55775.442600000002</v>
      </c>
      <c r="D128" s="12" t="str">
        <f t="shared" si="21"/>
        <v>vis</v>
      </c>
      <c r="E128" s="41">
        <f>VLOOKUP(C128,Active!C$21:E$968,3,FALSE)</f>
        <v>7715.008521501868</v>
      </c>
      <c r="F128" s="15" t="s">
        <v>105</v>
      </c>
      <c r="G128" s="12" t="str">
        <f t="shared" si="22"/>
        <v>55775.4426</v>
      </c>
      <c r="H128" s="10">
        <f t="shared" si="23"/>
        <v>687</v>
      </c>
      <c r="I128" s="42" t="s">
        <v>498</v>
      </c>
      <c r="J128" s="43" t="s">
        <v>499</v>
      </c>
      <c r="K128" s="42">
        <v>687</v>
      </c>
      <c r="L128" s="42" t="s">
        <v>500</v>
      </c>
      <c r="M128" s="43" t="s">
        <v>430</v>
      </c>
      <c r="N128" s="43" t="s">
        <v>501</v>
      </c>
      <c r="O128" s="44" t="s">
        <v>502</v>
      </c>
      <c r="P128" s="45" t="s">
        <v>503</v>
      </c>
    </row>
    <row r="129" spans="2:6">
      <c r="B129" s="15"/>
      <c r="F129" s="15"/>
    </row>
    <row r="130" spans="2:6">
      <c r="B130" s="15"/>
      <c r="F130" s="15"/>
    </row>
    <row r="131" spans="2:6">
      <c r="B131" s="15"/>
      <c r="F131" s="15"/>
    </row>
    <row r="132" spans="2:6">
      <c r="B132" s="15"/>
      <c r="F132" s="15"/>
    </row>
    <row r="133" spans="2:6">
      <c r="B133" s="15"/>
      <c r="F133" s="15"/>
    </row>
    <row r="134" spans="2:6">
      <c r="B134" s="15"/>
      <c r="F134" s="15"/>
    </row>
    <row r="135" spans="2:6">
      <c r="B135" s="15"/>
      <c r="F135" s="15"/>
    </row>
    <row r="136" spans="2:6">
      <c r="B136" s="15"/>
      <c r="F136" s="15"/>
    </row>
    <row r="137" spans="2:6">
      <c r="B137" s="15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</sheetData>
  <phoneticPr fontId="8" type="noConversion"/>
  <hyperlinks>
    <hyperlink ref="A3" r:id="rId1" xr:uid="{00000000-0004-0000-0100-000000000000}"/>
    <hyperlink ref="P117" r:id="rId2" display="http://vsolj.cetus-net.org/no38.pdf" xr:uid="{00000000-0004-0000-0100-000001000000}"/>
    <hyperlink ref="P119" r:id="rId3" display="http://vsolj.cetus-net.org/no39.pdf" xr:uid="{00000000-0004-0000-0100-000002000000}"/>
    <hyperlink ref="P71" r:id="rId4" display="http://www.konkoly.hu/cgi-bin/IBVS?5364" xr:uid="{00000000-0004-0000-0100-000003000000}"/>
    <hyperlink ref="P124" r:id="rId5" display="http://vsolj.cetus-net.org/no43.pdf" xr:uid="{00000000-0004-0000-0100-000004000000}"/>
    <hyperlink ref="P72" r:id="rId6" display="http://www.konkoly.hu/cgi-bin/IBVS?5897" xr:uid="{00000000-0004-0000-0100-000005000000}"/>
    <hyperlink ref="P73" r:id="rId7" display="http://www.konkoly.hu/cgi-bin/IBVS?5897" xr:uid="{00000000-0004-0000-0100-000006000000}"/>
    <hyperlink ref="P74" r:id="rId8" display="http://www.konkoly.hu/cgi-bin/IBVS?5897" xr:uid="{00000000-0004-0000-0100-000007000000}"/>
    <hyperlink ref="P75" r:id="rId9" display="http://www.aavso.org/sites/default/files/jaavso/v36n2/171.pdf" xr:uid="{00000000-0004-0000-0100-000008000000}"/>
    <hyperlink ref="P76" r:id="rId10" display="http://www.aavso.org/sites/default/files/jaavso/v36n2/186.pdf" xr:uid="{00000000-0004-0000-0100-000009000000}"/>
    <hyperlink ref="P77" r:id="rId11" display="http://www.konkoly.hu/cgi-bin/IBVS?5897" xr:uid="{00000000-0004-0000-0100-00000A000000}"/>
    <hyperlink ref="P128" r:id="rId12" display="http://www.bav-astro.de/sfs/BAVM_link.php?BAVMnr=225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2024-09-21T04:09:41Z</dcterms:modified>
</cp:coreProperties>
</file>