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1B898AD-5551-4210-A0B4-C8BA6D7E47D8}" xr6:coauthVersionLast="47" xr6:coauthVersionMax="47" xr10:uidLastSave="{00000000-0000-0000-0000-000000000000}"/>
  <bookViews>
    <workbookView xWindow="3000" yWindow="168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A22" i="1"/>
  <c r="Q23" i="1"/>
  <c r="F11" i="1"/>
  <c r="E23" i="1"/>
  <c r="F23" i="1" s="1"/>
  <c r="G23" i="1" s="1"/>
  <c r="I23" i="1" s="1"/>
  <c r="E21" i="1"/>
  <c r="F21" i="1" s="1"/>
  <c r="G21" i="1" s="1"/>
  <c r="H21" i="1" s="1"/>
  <c r="F14" i="1"/>
  <c r="F15" i="1" s="1"/>
  <c r="G11" i="1"/>
  <c r="C17" i="1"/>
  <c r="Q21" i="1"/>
  <c r="C12" i="1"/>
  <c r="C16" i="1" l="1"/>
  <c r="D18" i="1" s="1"/>
  <c r="C11" i="1"/>
  <c r="O22" i="1" l="1"/>
  <c r="O21" i="1"/>
  <c r="O23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<sst xmlns="http://schemas.openxmlformats.org/spreadsheetml/2006/main" count="51" uniqueCount="49">
  <si>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</si>
  <si>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</si>
  <si>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</si>
  <si>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</si>
  <si>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</si>
  <si>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</si>
  <si>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</si>
  <si>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</si>
  <si>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</si>
  <si>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</si>
  <si>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</si>
  <si>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</si>
  <si>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</si>
  <si>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</si>
  <si>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</si>
  <si>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</si>
  <si>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</si>
  <si>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</si>
  <si>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</si>
  <si>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</si>
  <si>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</si>
  <si>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</si>
  <si>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</si>
  <si>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</si>
  <si>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</si>
  <si>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</si>
  <si>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</si>
  <si>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</si>
  <si>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</si>
  <si>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</si>
  <si>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</si>
  <si>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</si>
  <si>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</si>
  <si>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</si>
  <si>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</si>
  <si>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</si>
  <si>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</si>
  <si>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DD Car / na</t>
  </si>
  <si>
    <t>OEJV 116</t>
  </si>
  <si>
    <t>I</t>
  </si>
  <si>
    <t>GCVS</t>
  </si>
  <si>
    <t>OEJV</t>
  </si>
  <si>
    <t>CCD</t>
  </si>
  <si>
    <t>VSX</t>
  </si>
  <si>
    <t>EA/SD</t>
  </si>
  <si>
    <t>Mag</t>
  </si>
  <si>
    <t>13.30-14.10</t>
  </si>
  <si>
    <t>Next ToM-S</t>
  </si>
  <si>
    <t>Next ToM-P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</si>
</sst>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 vertical="top"/>
    </xf>
    <xf numFmtId="165" fontId="14" fillId="0" borderId="0" xfId="0" applyNumberFormat="1" applyFont="1" applyAlignment="1">
      <alignment horizontal="left" vertical="top"/>
    </xf>
    <xf numFmtId="0" fontId="5" fillId="0" borderId="0" xfId="0" applyFont="1" applyAlignment="1"/>
    <xf numFmtId="0" fontId="5" fillId="2" borderId="5" xfId="0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2" fillId="0" borderId="8" xfId="0" applyFont="1" applyBorder="1">
      <alignment vertical="top"/>
    </xf>
    <xf numFmtId="0" fontId="9" fillId="0" borderId="8" xfId="0" applyFont="1" applyBorder="1">
      <alignment vertical="top"/>
    </xf>
    <xf numFmtId="0" fontId="8" fillId="0" borderId="8" xfId="0" applyFont="1" applyBorder="1" applyAlignment="1"/>
    <xf numFmtId="22" fontId="16" fillId="0" borderId="8" xfId="0" applyNumberFormat="1" applyFont="1" applyBorder="1">
      <alignment vertical="top"/>
    </xf>
    <xf numFmtId="22" fontId="16" fillId="0" borderId="9" xfId="0" applyNumberFormat="1" applyFont="1" applyBorder="1" applyAlignment="1"/>
    <xf numFmtId="0" fontId="15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-20224</c:v>
                </c:pt>
                <c:pt idx="1">
                  <c:v>0</c:v>
                </c:pt>
                <c:pt idx="2">
                  <c:v>1325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-0.22552799999539275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B-4266-81DE-8C0325C1A4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-20224</c:v>
                </c:pt>
                <c:pt idx="1">
                  <c:v>0</c:v>
                </c:pt>
                <c:pt idx="2">
                  <c:v>1325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2.5250000035157427E-3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7B-4266-81DE-8C0325C1A4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-20224</c:v>
                </c:pt>
                <c:pt idx="1">
                  <c:v>0</c:v>
                </c:pt>
                <c:pt idx="2">
                  <c:v>1325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7B-4266-81DE-8C0325C1A4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-20224</c:v>
                </c:pt>
                <c:pt idx="1">
                  <c:v>0</c:v>
                </c:pt>
                <c:pt idx="2">
                  <c:v>1325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7B-4266-81DE-8C0325C1A4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-20224</c:v>
                </c:pt>
                <c:pt idx="1">
                  <c:v>0</c:v>
                </c:pt>
                <c:pt idx="2">
                  <c:v>1325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7B-4266-81DE-8C0325C1A4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-20224</c:v>
                </c:pt>
                <c:pt idx="1">
                  <c:v>0</c:v>
                </c:pt>
                <c:pt idx="2">
                  <c:v>1325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7B-4266-81DE-8C0325C1A4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-20224</c:v>
                </c:pt>
                <c:pt idx="1">
                  <c:v>0</c:v>
                </c:pt>
                <c:pt idx="2">
                  <c:v>1325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7B-4266-81DE-8C0325C1A4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-20224</c:v>
                </c:pt>
                <c:pt idx="1">
                  <c:v>0</c:v>
                </c:pt>
                <c:pt idx="2">
                  <c:v>1325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-0.22515287575700096</c:v>
                </c:pt>
                <c:pt idx="1">
                  <c:v>-6.1007941230976637E-3</c:v>
                </c:pt>
                <c:pt idx="2">
                  <c:v>8.2506698882216546E-3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7B-4266-81DE-8C0325C1A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496296"/>
        <c:axId val="1"/>
      </c:scatterChart>
      <c:valAx>
        <c:axId val="68749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49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4238EB-004B-C91B-5A11-B699A3367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30" t="s">
        <v>44</v>
      </c>
      <c r="D2" s="3"/>
      <c r="E2" s="26"/>
    </row>
    <row r="3" spans="1:7" ht="13.5" thickBot="1" x14ac:dyDescent="0.25"/>
    <row r="4" spans="1:7" ht="14.25" thickTop="1" thickBot="1" x14ac:dyDescent="0.25">
      <c r="A4" s="5" t="s">
        <v>0</v>
      </c>
      <c r="C4" s="8">
        <v>23904.27</v>
      </c>
      <c r="D4" s="9">
        <v>1.44272</v>
      </c>
    </row>
    <row r="6" spans="1:7" x14ac:dyDescent="0.2">
      <c r="A6" s="5" t="s">
        <v>1</v>
      </c>
    </row>
    <row r="7" spans="1:7" x14ac:dyDescent="0.2">
      <c r="A7" t="s">
        <v>2</v>
      </c>
      <c r="C7">
        <v>53081.720999999998</v>
      </c>
      <c r="D7" s="30" t="s">
        <v>43</v>
      </c>
    </row>
    <row r="8" spans="1:7" x14ac:dyDescent="0.2">
      <c r="A8" t="s">
        <v>3</v>
      </c>
      <c r="C8">
        <v>1.4427030000000001</v>
      </c>
      <c r="D8" s="30" t="s">
        <v>43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-6.1007941230976637E-3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1.0831293593448542E-5</v>
      </c>
      <c r="D12" s="3"/>
      <c r="E12" s="31" t="s">
        <v>45</v>
      </c>
      <c r="F12" s="32" t="s">
        <v>46</v>
      </c>
    </row>
    <row r="13" spans="1:7" x14ac:dyDescent="0.2">
      <c r="A13" s="12" t="s">
        <v>19</v>
      </c>
      <c r="B13" s="12"/>
      <c r="C13" s="3" t="s">
        <v>14</v>
      </c>
      <c r="E13" s="33" t="s">
        <v>34</v>
      </c>
      <c r="F13" s="34">
        <v>1</v>
      </c>
    </row>
    <row r="14" spans="1:7" x14ac:dyDescent="0.2">
      <c r="A14" s="12"/>
      <c r="B14" s="12"/>
      <c r="C14" s="12"/>
      <c r="E14" s="33" t="s">
        <v>32</v>
      </c>
      <c r="F14" s="35">
        <f ca="1">NOW()+15018.5+$C$9/24</f>
        <v>60518.615314699069</v>
      </c>
    </row>
    <row r="15" spans="1:7" x14ac:dyDescent="0.2">
      <c r="A15" s="14" t="s">
        <v>18</v>
      </c>
      <c r="B15" s="12"/>
      <c r="C15" s="15">
        <f ca="1">(C7+C11)+(C8+C12)*INT(MAX(F21:F3533))</f>
        <v>54993.310725669886</v>
      </c>
      <c r="E15" s="33" t="s">
        <v>35</v>
      </c>
      <c r="F15" s="35">
        <f ca="1">ROUND(2*(F14-$C$7)/$C$8,0)/2+F13</f>
        <v>5156</v>
      </c>
    </row>
    <row r="16" spans="1:7" x14ac:dyDescent="0.2">
      <c r="A16" s="17" t="s">
        <v>4</v>
      </c>
      <c r="B16" s="12"/>
      <c r="C16" s="18">
        <f ca="1">+C8+C12</f>
        <v>1.4427138312935934</v>
      </c>
      <c r="E16" s="33" t="s">
        <v>36</v>
      </c>
      <c r="F16" s="36">
        <f ca="1">ROUND(2*(F14-$C$15)/$C$16,0)/2+F13</f>
        <v>3831</v>
      </c>
    </row>
    <row r="17" spans="1:17" ht="13.5" thickBot="1" x14ac:dyDescent="0.25">
      <c r="A17" s="16" t="s">
        <v>29</v>
      </c>
      <c r="B17" s="12"/>
      <c r="C17" s="12">
        <f>COUNT(C21:C2191)</f>
        <v>3</v>
      </c>
      <c r="E17" s="33" t="s">
        <v>48</v>
      </c>
      <c r="F17" s="37">
        <f ca="1">+$C$15+$C$16*$F$16-15018.5-$C$9/24</f>
        <v>45502.24324668898</v>
      </c>
    </row>
    <row r="18" spans="1:17" ht="14.25" thickTop="1" thickBot="1" x14ac:dyDescent="0.25">
      <c r="A18" s="17" t="s">
        <v>5</v>
      </c>
      <c r="B18" s="12"/>
      <c r="C18" s="19">
        <f ca="1">+C15</f>
        <v>54993.310725669886</v>
      </c>
      <c r="D18" s="20">
        <f ca="1">+C16</f>
        <v>1.4427138312935934</v>
      </c>
      <c r="E18" s="39" t="s">
        <v>47</v>
      </c>
      <c r="F18" s="38">
        <f ca="1">+($C$15+$C$16*$F$16)-($C$16/2)-15018.5-$C$9/24</f>
        <v>45501.521889773336</v>
      </c>
    </row>
    <row r="19" spans="1:17" ht="13.5" thickTop="1" x14ac:dyDescent="0.2">
      <c r="A19" s="24" t="s">
        <v>33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41</v>
      </c>
      <c r="J20" s="7" t="s">
        <v>42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23904.27</v>
      </c>
      <c r="D21" s="10" t="s">
        <v>14</v>
      </c>
      <c r="E21">
        <f>+(C21-C$7)/C$8</f>
        <v>-20224.156323234925</v>
      </c>
      <c r="F21">
        <f>ROUND(2*E21,0)/2</f>
        <v>-20224</v>
      </c>
      <c r="G21">
        <f>+C21-(C$7+F21*C$8)</f>
        <v>-0.22552799999539275</v>
      </c>
      <c r="H21">
        <f>+G21</f>
        <v>-0.22552799999539275</v>
      </c>
      <c r="O21">
        <f ca="1">+C$11+C$12*$F21</f>
        <v>-0.22515287575700096</v>
      </c>
      <c r="Q21" s="2">
        <f>+C21-15018.5</f>
        <v>8885.77</v>
      </c>
    </row>
    <row r="22" spans="1:17" x14ac:dyDescent="0.2">
      <c r="A22" t="str">
        <f>$D$7</f>
        <v>VSX</v>
      </c>
      <c r="C22" s="10">
        <f>$C$7</f>
        <v>53081.720999999998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-6.1007941230976637E-3</v>
      </c>
      <c r="Q22" s="2">
        <f>+C22-15018.5</f>
        <v>38063.220999999998</v>
      </c>
    </row>
    <row r="23" spans="1:17" x14ac:dyDescent="0.2">
      <c r="A23" s="27" t="s">
        <v>38</v>
      </c>
      <c r="B23" s="28" t="s">
        <v>39</v>
      </c>
      <c r="C23" s="29">
        <v>54993.305</v>
      </c>
      <c r="D23" s="29">
        <v>2E-3</v>
      </c>
      <c r="E23">
        <f>+(C23-C$7)/C$8</f>
        <v>1325.0017501869772</v>
      </c>
      <c r="F23">
        <f>ROUND(2*E23,0)/2</f>
        <v>1325</v>
      </c>
      <c r="G23">
        <f>+C23-(C$7+F23*C$8)</f>
        <v>2.5250000035157427E-3</v>
      </c>
      <c r="I23">
        <f>+G23</f>
        <v>2.5250000035157427E-3</v>
      </c>
      <c r="O23">
        <f ca="1">+C$11+C$12*$F23</f>
        <v>8.2506698882216546E-3</v>
      </c>
      <c r="Q23" s="2">
        <f>+C23-15018.5</f>
        <v>39974.805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S27">
    <sortCondition ref="C21:C2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2024-07-27T02:46:03Z</dcterms:modified>
</cp:coreProperties>
</file>