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A3A455-C529-45FC-A246-B491D05DE01F}" xr6:coauthVersionLast="47" xr6:coauthVersionMax="47" xr10:uidLastSave="{00000000-0000-0000-0000-000000000000}"/>
  <bookViews>
    <workbookView xWindow="3000" yWindow="168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D9" i="1"/>
  <c r="C9" i="1"/>
  <c r="E24" i="1"/>
  <c r="F24" i="1" s="1"/>
  <c r="G24" i="1" s="1"/>
  <c r="K24" i="1" s="1"/>
  <c r="E22" i="1"/>
  <c r="F22" i="1" s="1"/>
  <c r="G22" i="1" s="1"/>
  <c r="I22" i="1" s="1"/>
  <c r="E23" i="1"/>
  <c r="F23" i="1" s="1"/>
  <c r="G23" i="1" s="1"/>
  <c r="K23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F14" i="1"/>
  <c r="Q27" i="1"/>
  <c r="Q26" i="1"/>
  <c r="Q23" i="1"/>
  <c r="Q24" i="1"/>
  <c r="Q25" i="1"/>
  <c r="Q22" i="1"/>
  <c r="C17" i="1"/>
  <c r="C11" i="1"/>
  <c r="C12" i="1"/>
  <c r="O21" i="1" l="1"/>
  <c r="C16" i="1"/>
  <c r="D18" i="1" s="1"/>
  <c r="O23" i="1"/>
  <c r="O22" i="1"/>
  <c r="O26" i="1"/>
  <c r="C15" i="1"/>
  <c r="O25" i="1"/>
  <c r="O27" i="1"/>
  <c r="O24" i="1"/>
  <c r="F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<sst xmlns="http://schemas.openxmlformats.org/spreadsheetml/2006/main" count="56" uniqueCount="53">
  <si>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</si>
  <si>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</si>
  <si>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</si>
  <si>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</si>
  <si>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</si>
  <si>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</si>
  <si>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</si>
  <si>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</si>
  <si>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</si>
  <si>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</si>
  <si>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</si>
  <si>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</si>
  <si>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</si>
  <si>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</si>
  <si>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</si>
  <si>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</si>
  <si>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</si>
  <si>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</si>
  <si>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</si>
  <si>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</si>
  <si>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</si>
  <si>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</si>
  <si>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</si>
  <si>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</si>
  <si>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</si>
  <si>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</si>
  <si>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</si>
  <si>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</si>
  <si>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</si>
  <si>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</si>
  <si>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</si>
  <si>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</si>
  <si>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</si>
  <si>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EZ Car / GSC 8961-1636               </t>
  </si>
  <si>
    <t xml:space="preserve">EA/KE     </t>
  </si>
  <si>
    <t>IBVS 5809</t>
  </si>
  <si>
    <t>Pavlov 2015</t>
  </si>
  <si>
    <t>II</t>
  </si>
  <si>
    <t>Add cycle</t>
  </si>
  <si>
    <t>Old Cycle</t>
  </si>
  <si>
    <t>pg</t>
  </si>
  <si>
    <t>vis</t>
  </si>
  <si>
    <t>PE</t>
  </si>
  <si>
    <t>CCD</t>
  </si>
  <si>
    <t>s5</t>
  </si>
  <si>
    <t>s6</t>
  </si>
  <si>
    <t>s7</t>
  </si>
  <si>
    <t>Next ToM-P</t>
  </si>
  <si>
    <t>Next ToM-S</t>
  </si>
  <si>
    <t xml:space="preserve">Mag </t>
  </si>
  <si>
    <t>9.94-10.35</t>
  </si>
  <si>
    <t>VSX</t>
  </si>
  <si>
    <t>JAVSO. 44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</si>
</sst>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6" xfId="0" applyBorder="1">
      <alignment vertical="top"/>
    </xf>
    <xf numFmtId="0" fontId="0" fillId="0" borderId="7" xfId="0" applyBorder="1" applyAlignment="1"/>
    <xf numFmtId="0" fontId="16" fillId="2" borderId="8" xfId="0" applyFont="1" applyFill="1" applyBorder="1" applyAlignment="1">
      <alignment horizontal="right"/>
    </xf>
    <xf numFmtId="0" fontId="16" fillId="2" borderId="9" xfId="0" applyFont="1" applyFill="1" applyBorder="1" applyAlignment="1">
      <alignment horizontal="center"/>
    </xf>
    <xf numFmtId="0" fontId="19" fillId="0" borderId="8" xfId="0" applyFont="1" applyBorder="1" applyAlignment="1">
      <alignment horizontal="right"/>
    </xf>
    <xf numFmtId="0" fontId="12" fillId="0" borderId="9" xfId="0" applyFont="1" applyBorder="1" applyAlignment="1"/>
    <xf numFmtId="0" fontId="8" fillId="0" borderId="9" xfId="0" applyFont="1" applyBorder="1" applyAlignment="1"/>
    <xf numFmtId="22" fontId="20" fillId="0" borderId="9" xfId="0" applyNumberFormat="1" applyFont="1" applyBorder="1" applyAlignment="1"/>
    <xf numFmtId="22" fontId="20" fillId="0" borderId="10" xfId="0" applyNumberFormat="1" applyFont="1" applyBorder="1" applyAlignment="1"/>
    <xf numFmtId="0" fontId="19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Car - O-C Diagr.</a:t>
            </a:r>
          </a:p>
        </c:rich>
      </c:tx>
      <c:layout>
        <c:manualLayout>
          <c:xMode val="edge"/>
          <c:yMode val="edge"/>
          <c:x val="0.38947368421052631"/>
          <c:y val="3.488357814922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50375939849624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B-4119-910E-2325B61728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  <c:pt idx="1">
                  <c:v>3.1362000001536217E-2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B-4119-910E-2325B61728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0B-4119-910E-2325B61728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2">
                  <c:v>3.5339149995706975E-2</c:v>
                </c:pt>
                <c:pt idx="3">
                  <c:v>3.1434349999472033E-2</c:v>
                </c:pt>
                <c:pt idx="4">
                  <c:v>3.2093849993543699E-2</c:v>
                </c:pt>
                <c:pt idx="5">
                  <c:v>3.427094999642577E-2</c:v>
                </c:pt>
                <c:pt idx="6">
                  <c:v>3.427094999642577E-2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0B-4119-910E-2325B61728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0B-4119-910E-2325B61728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0B-4119-910E-2325B61728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8.0000000000000004E-4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0B-4119-910E-2325B61728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23980</c:v>
                </c:pt>
                <c:pt idx="2">
                  <c:v>24528.5</c:v>
                </c:pt>
                <c:pt idx="3">
                  <c:v>24536.5</c:v>
                </c:pt>
                <c:pt idx="4">
                  <c:v>24541.5</c:v>
                </c:pt>
                <c:pt idx="5">
                  <c:v>27850.5</c:v>
                </c:pt>
                <c:pt idx="6">
                  <c:v>27850.5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4.7150168262706862E-4</c:v>
                </c:pt>
                <c:pt idx="1">
                  <c:v>3.1050565873439819E-2</c:v>
                </c:pt>
                <c:pt idx="2">
                  <c:v>3.1750007771215505E-2</c:v>
                </c:pt>
                <c:pt idx="3">
                  <c:v>3.176020929388132E-2</c:v>
                </c:pt>
                <c:pt idx="4">
                  <c:v>3.1766585245547471E-2</c:v>
                </c:pt>
                <c:pt idx="5">
                  <c:v>3.5986190058199655E-2</c:v>
                </c:pt>
                <c:pt idx="6">
                  <c:v>3.5986190058199655E-2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0B-4119-910E-2325B617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670128"/>
        <c:axId val="1"/>
      </c:scatterChart>
      <c:valAx>
        <c:axId val="73967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302343785974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99992325520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670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441865819404156"/>
          <c:w val="0.66766917293233086"/>
          <c:h val="5.81397062209328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B0CD7CB-763C-CB1A-98B1-C31163064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</row>
    <row r="2" spans="1:6" ht="12.95" customHeight="1">
      <c r="A2" t="s">
        <v>22</v>
      </c>
      <c r="B2" s="30" t="s">
        <v>34</v>
      </c>
      <c r="C2" s="3"/>
      <c r="D2" s="3"/>
    </row>
    <row r="3" spans="1:6" ht="12.95" customHeight="1" thickBot="1">
      <c r="C3" s="27" t="s">
        <v>30</v>
      </c>
    </row>
    <row r="4" spans="1:6" ht="12.95" customHeight="1" thickTop="1" thickBot="1">
      <c r="A4" s="5" t="s">
        <v>32</v>
      </c>
      <c r="C4" s="8">
        <v>52500.192999999999</v>
      </c>
      <c r="D4" s="9">
        <v>1.1886893000000001</v>
      </c>
    </row>
    <row r="5" spans="1:6" ht="12.95" customHeight="1" thickTop="1">
      <c r="A5" s="11" t="s">
        <v>24</v>
      </c>
      <c r="B5" s="12"/>
      <c r="C5" s="13">
        <v>-9.5</v>
      </c>
      <c r="D5" s="12" t="s">
        <v>25</v>
      </c>
    </row>
    <row r="6" spans="1:6" ht="12.95" customHeight="1">
      <c r="A6" s="5" t="s">
        <v>0</v>
      </c>
    </row>
    <row r="7" spans="1:6" ht="12.95" customHeight="1">
      <c r="A7" t="s">
        <v>1</v>
      </c>
      <c r="C7">
        <v>23995.420999999998</v>
      </c>
      <c r="D7" s="37" t="s">
        <v>51</v>
      </c>
    </row>
    <row r="8" spans="1:6" ht="12.95" customHeight="1">
      <c r="A8" t="s">
        <v>2</v>
      </c>
      <c r="C8">
        <v>1.1886881</v>
      </c>
      <c r="D8" s="37" t="s">
        <v>51</v>
      </c>
    </row>
    <row r="9" spans="1:6" ht="12.95" customHeight="1">
      <c r="A9" s="24" t="s">
        <v>28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2.95" customHeight="1" thickBot="1">
      <c r="A10" s="12"/>
      <c r="B10" s="12"/>
      <c r="C10" s="4" t="s">
        <v>18</v>
      </c>
      <c r="D10" s="4" t="s">
        <v>19</v>
      </c>
      <c r="E10" s="12"/>
    </row>
    <row r="11" spans="1:6" ht="12.95" customHeight="1">
      <c r="A11" s="12" t="s">
        <v>14</v>
      </c>
      <c r="B11" s="12"/>
      <c r="C11" s="21">
        <f ca="1">INTERCEPT(INDIRECT($D$9):G974,INDIRECT($C$9):F974)</f>
        <v>4.7150168262706862E-4</v>
      </c>
      <c r="D11" s="3"/>
      <c r="E11" s="38"/>
      <c r="F11" s="39"/>
    </row>
    <row r="12" spans="1:6" ht="12.95" customHeight="1">
      <c r="A12" s="12" t="s">
        <v>15</v>
      </c>
      <c r="B12" s="12"/>
      <c r="C12" s="21">
        <f ca="1">SLOPE(INDIRECT($D$9):G974,INDIRECT($C$9):F974)</f>
        <v>1.2751903332282214E-6</v>
      </c>
      <c r="D12" s="3"/>
      <c r="E12" s="40" t="s">
        <v>49</v>
      </c>
      <c r="F12" s="41" t="s">
        <v>50</v>
      </c>
    </row>
    <row r="13" spans="1:6" ht="12.95" customHeight="1">
      <c r="A13" s="12" t="s">
        <v>17</v>
      </c>
      <c r="B13" s="12"/>
      <c r="C13" s="3" t="s">
        <v>12</v>
      </c>
      <c r="D13" s="3"/>
      <c r="E13" s="42" t="s">
        <v>38</v>
      </c>
      <c r="F13" s="43">
        <v>1</v>
      </c>
    </row>
    <row r="14" spans="1:6" ht="12.95" customHeight="1">
      <c r="A14" s="12"/>
      <c r="B14" s="12"/>
      <c r="C14" s="12"/>
      <c r="D14" s="12"/>
      <c r="E14" s="42" t="s">
        <v>26</v>
      </c>
      <c r="F14" s="44">
        <f ca="1">NOW()+15018.5+$C$5/24</f>
        <v>60518.616229166662</v>
      </c>
    </row>
    <row r="15" spans="1:6" ht="12.95" customHeight="1">
      <c r="A15" s="14" t="s">
        <v>16</v>
      </c>
      <c r="B15" s="12"/>
      <c r="C15" s="15">
        <f ca="1">(C7+C11)+(C8+C12)*INT(MAX(F21:F3515))</f>
        <v>57100.420570552466</v>
      </c>
      <c r="E15" s="42" t="s">
        <v>39</v>
      </c>
      <c r="F15" s="44">
        <f ca="1">ROUND(2*(F14-$C$7)/$C$8,0)/2+F13</f>
        <v>30726.5</v>
      </c>
    </row>
    <row r="16" spans="1:6" ht="12.95" customHeight="1">
      <c r="A16" s="17" t="s">
        <v>3</v>
      </c>
      <c r="B16" s="12"/>
      <c r="C16" s="18">
        <f ca="1">+C8+C12</f>
        <v>1.1886893751903334</v>
      </c>
      <c r="E16" s="42" t="s">
        <v>27</v>
      </c>
      <c r="F16" s="44">
        <f ca="1">ROUND(2*(F14-$C$15)/$C$16,0)/2+F13</f>
        <v>2876.5</v>
      </c>
    </row>
    <row r="17" spans="1:17" ht="12.95" customHeight="1" thickBot="1">
      <c r="A17" s="16" t="s">
        <v>23</v>
      </c>
      <c r="B17" s="12"/>
      <c r="C17" s="12">
        <f>COUNT(C21:C2173)</f>
        <v>7</v>
      </c>
      <c r="E17" s="42" t="s">
        <v>47</v>
      </c>
      <c r="F17" s="45">
        <f ca="1">+$C$15+$C$16*$F$16-15018.5-$C$5/24</f>
        <v>45501.581391620792</v>
      </c>
    </row>
    <row r="18" spans="1:17" ht="12.95" customHeight="1" thickTop="1" thickBot="1">
      <c r="A18" s="17" t="s">
        <v>4</v>
      </c>
      <c r="B18" s="12"/>
      <c r="C18" s="19">
        <f ca="1">+C15</f>
        <v>57100.420570552466</v>
      </c>
      <c r="D18" s="20">
        <f ca="1">+C16</f>
        <v>1.1886893751903334</v>
      </c>
      <c r="E18" s="47" t="s">
        <v>48</v>
      </c>
      <c r="F18" s="46">
        <f ca="1">+($C$15+$C$16*$F$16)-($C$16/2)-15018.5-$C$5/24</f>
        <v>45500.987046933195</v>
      </c>
    </row>
    <row r="19" spans="1:17" ht="12.95" customHeight="1" thickTop="1"/>
    <row r="20" spans="1:17" ht="12.95" customHeight="1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44</v>
      </c>
      <c r="M20" s="7" t="s">
        <v>45</v>
      </c>
      <c r="N20" s="7" t="s">
        <v>46</v>
      </c>
      <c r="O20" s="7" t="s">
        <v>21</v>
      </c>
      <c r="P20" s="6" t="s">
        <v>20</v>
      </c>
      <c r="Q20" s="4" t="s">
        <v>13</v>
      </c>
    </row>
    <row r="21" spans="1:17" ht="12.95" customHeight="1">
      <c r="A21" t="str">
        <f>$D$7</f>
        <v>VSX</v>
      </c>
      <c r="C21" s="10">
        <f>$C$7</f>
        <v>23995.420999999998</v>
      </c>
      <c r="D21" s="10"/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4.7150168262706862E-4</v>
      </c>
      <c r="Q21" s="2">
        <f t="shared" ref="Q21:Q27" si="4">+C21-15018.5</f>
        <v>8976.9209999999985</v>
      </c>
    </row>
    <row r="22" spans="1:17" ht="12.95" customHeight="1">
      <c r="A22" s="29" t="s">
        <v>31</v>
      </c>
      <c r="B22" s="28" t="s">
        <v>29</v>
      </c>
      <c r="C22" s="29">
        <v>52500.192999999999</v>
      </c>
      <c r="D22" s="26"/>
      <c r="E22">
        <f t="shared" si="0"/>
        <v>23980.026383708224</v>
      </c>
      <c r="F22">
        <f t="shared" si="1"/>
        <v>23980</v>
      </c>
      <c r="G22">
        <f t="shared" si="2"/>
        <v>3.1362000001536217E-2</v>
      </c>
      <c r="I22">
        <f>+G22</f>
        <v>3.1362000001536217E-2</v>
      </c>
      <c r="O22">
        <f t="shared" ca="1" si="3"/>
        <v>3.1050565873439819E-2</v>
      </c>
      <c r="Q22" s="2">
        <f t="shared" si="4"/>
        <v>37481.692999999999</v>
      </c>
    </row>
    <row r="23" spans="1:17" ht="12.95" customHeight="1">
      <c r="A23" s="29" t="s">
        <v>35</v>
      </c>
      <c r="B23" s="29"/>
      <c r="C23" s="34">
        <v>53152.1924</v>
      </c>
      <c r="D23" s="34">
        <v>8.0000000000000004E-4</v>
      </c>
      <c r="E23">
        <f t="shared" si="0"/>
        <v>24528.529729539649</v>
      </c>
      <c r="F23">
        <f t="shared" si="1"/>
        <v>24528.5</v>
      </c>
      <c r="G23">
        <f t="shared" si="2"/>
        <v>3.5339149995706975E-2</v>
      </c>
      <c r="K23">
        <f>+G23</f>
        <v>3.5339149995706975E-2</v>
      </c>
      <c r="O23">
        <f t="shared" ca="1" si="3"/>
        <v>3.1750007771215505E-2</v>
      </c>
      <c r="Q23" s="2">
        <f t="shared" si="4"/>
        <v>38133.6924</v>
      </c>
    </row>
    <row r="24" spans="1:17" ht="12.95" customHeight="1">
      <c r="A24" s="29" t="s">
        <v>35</v>
      </c>
      <c r="B24" s="29"/>
      <c r="C24" s="34">
        <v>53161.697999999997</v>
      </c>
      <c r="D24" s="34">
        <v>1E-3</v>
      </c>
      <c r="E24">
        <f t="shared" si="0"/>
        <v>24536.526444573643</v>
      </c>
      <c r="F24">
        <f t="shared" si="1"/>
        <v>24536.5</v>
      </c>
      <c r="G24">
        <f t="shared" si="2"/>
        <v>3.1434349999472033E-2</v>
      </c>
      <c r="K24">
        <f>+G24</f>
        <v>3.1434349999472033E-2</v>
      </c>
      <c r="O24">
        <f t="shared" ca="1" si="3"/>
        <v>3.176020929388132E-2</v>
      </c>
      <c r="Q24" s="2">
        <f t="shared" si="4"/>
        <v>38143.197999999997</v>
      </c>
    </row>
    <row r="25" spans="1:17" ht="12.95" customHeight="1">
      <c r="A25" s="29" t="s">
        <v>35</v>
      </c>
      <c r="B25" s="29"/>
      <c r="C25" s="34">
        <v>53167.642099999997</v>
      </c>
      <c r="D25" s="34">
        <v>8.0000000000000004E-4</v>
      </c>
      <c r="E25">
        <f t="shared" si="0"/>
        <v>24541.52699938697</v>
      </c>
      <c r="F25">
        <f t="shared" si="1"/>
        <v>24541.5</v>
      </c>
      <c r="G25">
        <f t="shared" si="2"/>
        <v>3.2093849993543699E-2</v>
      </c>
      <c r="K25">
        <f>+G25</f>
        <v>3.2093849993543699E-2</v>
      </c>
      <c r="O25">
        <f t="shared" ca="1" si="3"/>
        <v>3.1766585245547471E-2</v>
      </c>
      <c r="Q25" s="2">
        <f t="shared" si="4"/>
        <v>38149.142099999997</v>
      </c>
    </row>
    <row r="26" spans="1:17" ht="12.95" customHeight="1">
      <c r="A26" s="29" t="s">
        <v>36</v>
      </c>
      <c r="B26" s="31"/>
      <c r="C26" s="32">
        <v>57101.013200000001</v>
      </c>
      <c r="D26" s="33">
        <v>4.0000000000000002E-4</v>
      </c>
      <c r="E26">
        <f t="shared" si="0"/>
        <v>27850.528830901898</v>
      </c>
      <c r="F26">
        <f t="shared" si="1"/>
        <v>27850.5</v>
      </c>
      <c r="G26">
        <f t="shared" si="2"/>
        <v>3.427094999642577E-2</v>
      </c>
      <c r="K26">
        <f>+G26</f>
        <v>3.427094999642577E-2</v>
      </c>
      <c r="O26">
        <f t="shared" ca="1" si="3"/>
        <v>3.5986190058199655E-2</v>
      </c>
      <c r="Q26" s="2">
        <f t="shared" si="4"/>
        <v>42082.513200000001</v>
      </c>
    </row>
    <row r="27" spans="1:17" ht="12.95" customHeight="1">
      <c r="A27" s="35" t="s">
        <v>52</v>
      </c>
      <c r="B27" s="36" t="s">
        <v>37</v>
      </c>
      <c r="C27" s="29">
        <v>57101.013200000001</v>
      </c>
      <c r="D27" s="29">
        <v>4.0000000000000002E-4</v>
      </c>
      <c r="E27">
        <f t="shared" si="0"/>
        <v>27850.528830901898</v>
      </c>
      <c r="F27">
        <f t="shared" si="1"/>
        <v>27850.5</v>
      </c>
      <c r="G27">
        <f t="shared" si="2"/>
        <v>3.427094999642577E-2</v>
      </c>
      <c r="K27">
        <f>+G27</f>
        <v>3.427094999642577E-2</v>
      </c>
      <c r="O27">
        <f t="shared" ca="1" si="3"/>
        <v>3.5986190058199655E-2</v>
      </c>
      <c r="Q27" s="2">
        <f t="shared" si="4"/>
        <v>42082.513200000001</v>
      </c>
    </row>
    <row r="28" spans="1:17" ht="12.95" customHeight="1">
      <c r="C28" s="10"/>
      <c r="D28" s="10"/>
    </row>
    <row r="29" spans="1:17" ht="12.95" customHeight="1">
      <c r="C29" s="10"/>
      <c r="D29" s="10"/>
    </row>
    <row r="30" spans="1:17" ht="12.95" customHeight="1">
      <c r="C30" s="10"/>
      <c r="D30" s="10"/>
    </row>
    <row r="31" spans="1:17" ht="12.95" customHeight="1">
      <c r="C31" s="10"/>
      <c r="D31" s="10"/>
    </row>
    <row r="32" spans="1:17" ht="12.95" customHeight="1">
      <c r="C32" s="10"/>
      <c r="D32" s="10"/>
    </row>
    <row r="33" spans="3:4" ht="12.95" customHeight="1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</sheetData>
  <sortState xmlns:xlrd2="http://schemas.microsoft.com/office/spreadsheetml/2017/richdata2" ref="A21:R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2024-07-27T02:47:22Z</dcterms:modified>
</cp:coreProperties>
</file>