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45227A9-1833-4665-A242-960E303872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18" i="1" l="1"/>
  <c r="C27" i="1"/>
  <c r="E27" i="1" s="1"/>
  <c r="F27" i="1" s="1"/>
  <c r="G27" i="1" s="1"/>
  <c r="A27" i="1"/>
  <c r="E22" i="1"/>
  <c r="F22" i="1" s="1"/>
  <c r="G22" i="1" s="1"/>
  <c r="E23" i="1"/>
  <c r="F23" i="1" s="1"/>
  <c r="G23" i="1" s="1"/>
  <c r="E24" i="1"/>
  <c r="F24" i="1" s="1"/>
  <c r="G24" i="1" s="1"/>
  <c r="S24" i="1" s="1"/>
  <c r="E25" i="1"/>
  <c r="F25" i="1" s="1"/>
  <c r="G25" i="1" s="1"/>
  <c r="E26" i="1"/>
  <c r="F26" i="1"/>
  <c r="G26" i="1" s="1"/>
  <c r="C14" i="1"/>
  <c r="C13" i="1"/>
  <c r="E21" i="1"/>
  <c r="F21" i="1" s="1"/>
  <c r="G21" i="1" s="1"/>
  <c r="D14" i="1"/>
  <c r="D13" i="1"/>
  <c r="Q22" i="1"/>
  <c r="Q23" i="1"/>
  <c r="Q24" i="1"/>
  <c r="Q25" i="1"/>
  <c r="Q26" i="1"/>
  <c r="D26" i="1"/>
  <c r="D25" i="1"/>
  <c r="F12" i="1"/>
  <c r="F13" i="1" s="1"/>
  <c r="C17" i="1"/>
  <c r="Q21" i="1"/>
  <c r="Q27" i="1" l="1"/>
  <c r="R27" i="1"/>
  <c r="H27" i="1"/>
  <c r="R21" i="1"/>
  <c r="I21" i="1"/>
  <c r="R23" i="1"/>
  <c r="K23" i="1"/>
  <c r="S25" i="1"/>
  <c r="K25" i="1"/>
  <c r="K22" i="1"/>
  <c r="R22" i="1"/>
  <c r="K26" i="1"/>
  <c r="S26" i="1"/>
  <c r="K24" i="1"/>
  <c r="D11" i="1"/>
  <c r="D12" i="1"/>
  <c r="C11" i="1"/>
  <c r="C12" i="1"/>
  <c r="P27" i="1" l="1"/>
  <c r="O27" i="1"/>
  <c r="D16" i="1"/>
  <c r="D19" i="1" s="1"/>
  <c r="P22" i="1"/>
  <c r="P26" i="1"/>
  <c r="P24" i="1"/>
  <c r="P21" i="1"/>
  <c r="P25" i="1"/>
  <c r="D15" i="1"/>
  <c r="P23" i="1"/>
  <c r="C16" i="1"/>
  <c r="D18" i="1" s="1"/>
  <c r="O26" i="1"/>
  <c r="O22" i="1"/>
  <c r="C15" i="1"/>
  <c r="O21" i="1"/>
  <c r="O23" i="1"/>
  <c r="O25" i="1"/>
  <c r="O24" i="1"/>
  <c r="R19" i="1"/>
  <c r="S19" i="1"/>
  <c r="E19" i="1" s="1"/>
  <c r="C19" i="1" l="1"/>
  <c r="F14" i="1"/>
  <c r="F15" i="1" s="1"/>
  <c r="C18" i="1"/>
  <c r="F16" i="1" l="1"/>
</calcChain>
</file>

<file path=xl/sharedStrings.xml><?xml version="1.0" encoding="utf-8"?>
<sst xmlns="http://schemas.openxmlformats.org/spreadsheetml/2006/main" count="66" uniqueCount="57">
  <si>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</si>
  <si>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</si>
  <si>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</si>
  <si>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</si>
  <si>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</si>
  <si>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</si>
  <si>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</si>
  <si>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</si>
  <si>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</si>
  <si>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</si>
  <si>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</si>
  <si>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Date</t>
  </si>
  <si>
    <t>LS Intercept =</t>
  </si>
  <si>
    <t>LS Slope =</t>
  </si>
  <si>
    <t>New epoch =</t>
  </si>
  <si>
    <t>System Type:</t>
  </si>
  <si>
    <t>S6</t>
  </si>
  <si>
    <t>Primary</t>
  </si>
  <si>
    <t>Secondary</t>
  </si>
  <si>
    <t>Misc</t>
  </si>
  <si>
    <t>Prim. Ephem. =</t>
  </si>
  <si>
    <t>Sec. Ephem. =</t>
  </si>
  <si>
    <t>Prim. Fit</t>
  </si>
  <si>
    <t>Sec. Fit</t>
  </si>
  <si>
    <t>S5</t>
  </si>
  <si>
    <t># of data points =</t>
  </si>
  <si>
    <t>Start of Lin fit (row)</t>
  </si>
  <si>
    <t>Start cell (x)</t>
  </si>
  <si>
    <t>Start cell (y)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</si>
  <si>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</si>
  <si>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</si>
  <si>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</si>
  <si>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</si>
  <si>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</si>
  <si>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</si>
  <si>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 xml:space="preserve">GL Car / GSC 8959-1244               </t>
  </si>
  <si>
    <t xml:space="preserve">EA/DM     </t>
  </si>
  <si>
    <t>Kreiner Eph.</t>
  </si>
  <si>
    <t>J.M. Kreiner, 2004, Acta Astronomica, vol. 54, pp 207-210.</t>
  </si>
  <si>
    <t>Kreiner</t>
  </si>
  <si>
    <t>I</t>
  </si>
  <si>
    <t>IBVS 5809</t>
  </si>
  <si>
    <t>OEJV 0074</t>
  </si>
  <si>
    <t>CCD+V</t>
  </si>
  <si>
    <t>CCD+R</t>
  </si>
  <si>
    <t>OEJV 0073</t>
  </si>
  <si>
    <t>II</t>
  </si>
  <si>
    <t>Apsidal motion</t>
  </si>
  <si>
    <r>
      <t xml:space="preserve">ref:  Hoffmeister, Richter &amp; Wenzel, 1985, </t>
    </r>
    <r>
      <rPr>
        <b/>
        <i/>
        <sz val="10"/>
        <color indexed="12"/>
        <rFont val="Arial"/>
        <family val="2"/>
      </rPr>
      <t>Variable Stars</t>
    </r>
    <r>
      <rPr>
        <b/>
        <sz val="10"/>
        <color indexed="12"/>
        <rFont val="Arial"/>
        <family val="2"/>
      </rPr>
      <t xml:space="preserve"> (Springer)</t>
    </r>
  </si>
  <si>
    <t>PE</t>
  </si>
  <si>
    <t>CCD</t>
  </si>
  <si>
    <t>Next ToM-P</t>
  </si>
  <si>
    <t>Next ToM-S</t>
  </si>
  <si>
    <t>VSX</t>
  </si>
  <si>
    <t xml:space="preserve">Mag </t>
  </si>
  <si>
    <t>9.53-10.19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</si>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</sst>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2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name val="Arial Unicode MS"/>
    </font>
    <font>
      <b/>
      <sz val="10"/>
      <color indexed="20"/>
      <name val="Arial"/>
      <family val="2"/>
    </font>
    <font>
      <b/>
      <sz val="10"/>
      <color indexed="17"/>
      <name val="Arial"/>
      <family val="2"/>
    </font>
    <font>
      <b/>
      <i/>
      <sz val="10"/>
      <color indexed="12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7" fillId="0" borderId="0" xfId="0" applyFont="1" applyAlignme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0" fontId="5" fillId="0" borderId="0" xfId="0" applyFo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 applyAlignment="1">
      <alignment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11" fillId="0" borderId="0" xfId="0" applyFont="1" applyAlignment="1"/>
    <xf numFmtId="0" fontId="11" fillId="0" borderId="0" xfId="0" applyFont="1">
      <alignment vertical="top"/>
    </xf>
    <xf numFmtId="0" fontId="11" fillId="0" borderId="0" xfId="0" applyFont="1" applyAlignment="1">
      <alignment horizontal="center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12" fillId="0" borderId="0" xfId="0" applyFont="1" applyAlignment="1">
      <alignment horizontal="center"/>
    </xf>
    <xf numFmtId="0" fontId="7" fillId="0" borderId="0" xfId="0" applyFont="1">
      <alignment vertical="top"/>
    </xf>
    <xf numFmtId="0" fontId="13" fillId="0" borderId="0" xfId="0" applyFont="1" applyAlignment="1">
      <alignment horizontal="center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16" fillId="0" borderId="0" xfId="0" applyFont="1">
      <alignment vertical="top"/>
    </xf>
    <xf numFmtId="0" fontId="9" fillId="0" borderId="0" xfId="0" applyFont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7" fillId="0" borderId="1" xfId="0" applyFont="1" applyBorder="1">
      <alignment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15" fillId="0" borderId="0" xfId="0" applyFont="1" applyAlignment="1"/>
    <xf numFmtId="0" fontId="6" fillId="0" borderId="0" xfId="0" applyFont="1" applyAlignment="1"/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2" borderId="6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center" vertical="center"/>
    </xf>
    <xf numFmtId="0" fontId="20" fillId="0" borderId="8" xfId="0" applyFont="1" applyBorder="1" applyAlignment="1">
      <alignment horizontal="right" vertical="center"/>
    </xf>
    <xf numFmtId="0" fontId="21" fillId="0" borderId="9" xfId="0" applyFont="1" applyBorder="1" applyAlignment="1"/>
    <xf numFmtId="0" fontId="13" fillId="0" borderId="9" xfId="0" applyFont="1" applyBorder="1" applyAlignment="1">
      <alignment horizontal="right" vertical="center"/>
    </xf>
    <xf numFmtId="0" fontId="12" fillId="0" borderId="9" xfId="0" applyFont="1" applyBorder="1" applyAlignment="1">
      <alignment horizontal="right" vertical="center"/>
    </xf>
    <xf numFmtId="22" fontId="12" fillId="0" borderId="9" xfId="0" applyNumberFormat="1" applyFont="1" applyBorder="1" applyAlignment="1">
      <alignment horizontal="right" vertical="center"/>
    </xf>
    <xf numFmtId="0" fontId="20" fillId="0" borderId="10" xfId="0" applyFont="1" applyBorder="1" applyAlignment="1">
      <alignment horizontal="right" vertical="center"/>
    </xf>
    <xf numFmtId="22" fontId="12" fillId="0" borderId="11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GL Car - O-C Diagr.</a:t>
            </a:r>
          </a:p>
        </c:rich>
      </c:tx>
      <c:layout>
        <c:manualLayout>
          <c:xMode val="edge"/>
          <c:yMode val="edge"/>
          <c:x val="0.37903225806451613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4516129032258"/>
          <c:y val="0.1458966565349544"/>
          <c:w val="0.82903225806451608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'Active 1'!$D$21:$D$494</c:f>
                <c:numCache>
                  <c:formatCode>General</c:formatCode>
                  <c:ptCount val="474"/>
                  <c:pt idx="1">
                    <c:v>2E-3</c:v>
                  </c:pt>
                  <c:pt idx="2">
                    <c:v>0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5.0000000000000001E-3</c:v>
                  </c:pt>
                </c:numCache>
              </c:numRef>
            </c:plus>
            <c:minus>
              <c:numRef>
                <c:f>'Active 1'!$D$21:$D$494</c:f>
                <c:numCache>
                  <c:formatCode>General</c:formatCode>
                  <c:ptCount val="474"/>
                  <c:pt idx="1">
                    <c:v>2E-3</c:v>
                  </c:pt>
                  <c:pt idx="2">
                    <c:v>0</c:v>
                  </c:pt>
                  <c:pt idx="3">
                    <c:v>0</c:v>
                  </c:pt>
                  <c:pt idx="4">
                    <c:v>4.0000000000000001E-3</c:v>
                  </c:pt>
                  <c:pt idx="5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-858</c:v>
                </c:pt>
                <c:pt idx="1">
                  <c:v>-426</c:v>
                </c:pt>
                <c:pt idx="2">
                  <c:v>-395</c:v>
                </c:pt>
                <c:pt idx="3">
                  <c:v>-381.5</c:v>
                </c:pt>
                <c:pt idx="4">
                  <c:v>-128.5</c:v>
                </c:pt>
                <c:pt idx="5">
                  <c:v>-121.5</c:v>
                </c:pt>
                <c:pt idx="6">
                  <c:v>0</c:v>
                </c:pt>
              </c:numCache>
            </c:numRef>
          </c:xVal>
          <c:yVal>
            <c:numRef>
              <c:f>'Active 1'!$H$21:$H$921</c:f>
              <c:numCache>
                <c:formatCode>General</c:formatCode>
                <c:ptCount val="901"/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F7-44DF-81B6-F92F3AE389E0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-858</c:v>
                </c:pt>
                <c:pt idx="1">
                  <c:v>-426</c:v>
                </c:pt>
                <c:pt idx="2">
                  <c:v>-395</c:v>
                </c:pt>
                <c:pt idx="3">
                  <c:v>-381.5</c:v>
                </c:pt>
                <c:pt idx="4">
                  <c:v>-128.5</c:v>
                </c:pt>
                <c:pt idx="5">
                  <c:v>-121.5</c:v>
                </c:pt>
                <c:pt idx="6">
                  <c:v>0</c:v>
                </c:pt>
              </c:numCache>
            </c:numRef>
          </c:xVal>
          <c:yVal>
            <c:numRef>
              <c:f>'Active 1'!$I$21:$I$921</c:f>
              <c:numCache>
                <c:formatCode>General</c:formatCode>
                <c:ptCount val="901"/>
                <c:pt idx="0">
                  <c:v>-5.5712399996991735E-2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F7-44DF-81B6-F92F3AE389E0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1'!$D$21:$D$21</c:f>
                <c:numCache>
                  <c:formatCode>General</c:formatCode>
                  <c:ptCount val="1"/>
                </c:numCache>
              </c:numRef>
            </c:plus>
            <c:minus>
              <c:numRef>
                <c:f>'Active 1'!$D$21:$D$21</c:f>
                <c:numCache>
                  <c:formatCode>General</c:formatCode>
                  <c:ptCount val="1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1'!$F$21:$F$921</c:f>
              <c:numCache>
                <c:formatCode>General</c:formatCode>
                <c:ptCount val="901"/>
                <c:pt idx="0">
                  <c:v>-858</c:v>
                </c:pt>
                <c:pt idx="1">
                  <c:v>-426</c:v>
                </c:pt>
                <c:pt idx="2">
                  <c:v>-395</c:v>
                </c:pt>
                <c:pt idx="3">
                  <c:v>-381.5</c:v>
                </c:pt>
                <c:pt idx="4">
                  <c:v>-128.5</c:v>
                </c:pt>
                <c:pt idx="5">
                  <c:v>-121.5</c:v>
                </c:pt>
                <c:pt idx="6">
                  <c:v>0</c:v>
                </c:pt>
              </c:numCache>
            </c:numRef>
          </c:xVal>
          <c:yVal>
            <c:numRef>
              <c:f>'Active 1'!$J$21:$J$921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F7-44DF-81B6-F92F3AE389E0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-858</c:v>
                </c:pt>
                <c:pt idx="1">
                  <c:v>-426</c:v>
                </c:pt>
                <c:pt idx="2">
                  <c:v>-395</c:v>
                </c:pt>
                <c:pt idx="3">
                  <c:v>-381.5</c:v>
                </c:pt>
                <c:pt idx="4">
                  <c:v>-128.5</c:v>
                </c:pt>
                <c:pt idx="5">
                  <c:v>-121.5</c:v>
                </c:pt>
                <c:pt idx="6">
                  <c:v>0</c:v>
                </c:pt>
              </c:numCache>
            </c:numRef>
          </c:xVal>
          <c:yVal>
            <c:numRef>
              <c:f>'Active 1'!$K$21:$K$921</c:f>
              <c:numCache>
                <c:formatCode>General</c:formatCode>
                <c:ptCount val="901"/>
                <c:pt idx="1">
                  <c:v>9.7372000018367544E-3</c:v>
                </c:pt>
                <c:pt idx="2">
                  <c:v>0.42677900000126101</c:v>
                </c:pt>
                <c:pt idx="3">
                  <c:v>-0.33044069999596104</c:v>
                </c:pt>
                <c:pt idx="4">
                  <c:v>-0.2171672998010763</c:v>
                </c:pt>
                <c:pt idx="5">
                  <c:v>-0.22028270005830564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5F7-44DF-81B6-F92F3AE389E0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-858</c:v>
                </c:pt>
                <c:pt idx="1">
                  <c:v>-426</c:v>
                </c:pt>
                <c:pt idx="2">
                  <c:v>-395</c:v>
                </c:pt>
                <c:pt idx="3">
                  <c:v>-381.5</c:v>
                </c:pt>
                <c:pt idx="4">
                  <c:v>-128.5</c:v>
                </c:pt>
                <c:pt idx="5">
                  <c:v>-121.5</c:v>
                </c:pt>
                <c:pt idx="6">
                  <c:v>0</c:v>
                </c:pt>
              </c:numCache>
            </c:numRef>
          </c:xVal>
          <c:yVal>
            <c:numRef>
              <c:f>'Active 1'!$L$21:$L$921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5F7-44DF-81B6-F92F3AE389E0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-858</c:v>
                </c:pt>
                <c:pt idx="1">
                  <c:v>-426</c:v>
                </c:pt>
                <c:pt idx="2">
                  <c:v>-395</c:v>
                </c:pt>
                <c:pt idx="3">
                  <c:v>-381.5</c:v>
                </c:pt>
                <c:pt idx="4">
                  <c:v>-128.5</c:v>
                </c:pt>
                <c:pt idx="5">
                  <c:v>-121.5</c:v>
                </c:pt>
                <c:pt idx="6">
                  <c:v>0</c:v>
                </c:pt>
              </c:numCache>
            </c:numRef>
          </c:xVal>
          <c:yVal>
            <c:numRef>
              <c:f>'Active 1'!$M$21:$M$921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5F7-44DF-81B6-F92F3AE389E0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-858</c:v>
                </c:pt>
                <c:pt idx="1">
                  <c:v>-426</c:v>
                </c:pt>
                <c:pt idx="2">
                  <c:v>-395</c:v>
                </c:pt>
                <c:pt idx="3">
                  <c:v>-381.5</c:v>
                </c:pt>
                <c:pt idx="4">
                  <c:v>-128.5</c:v>
                </c:pt>
                <c:pt idx="5">
                  <c:v>-121.5</c:v>
                </c:pt>
                <c:pt idx="6">
                  <c:v>0</c:v>
                </c:pt>
              </c:numCache>
            </c:numRef>
          </c:xVal>
          <c:yVal>
            <c:numRef>
              <c:f>'Active 1'!$N$21:$N$921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5F7-44DF-81B6-F92F3AE389E0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-858</c:v>
                </c:pt>
                <c:pt idx="1">
                  <c:v>-426</c:v>
                </c:pt>
                <c:pt idx="2">
                  <c:v>-395</c:v>
                </c:pt>
                <c:pt idx="3">
                  <c:v>-381.5</c:v>
                </c:pt>
                <c:pt idx="4">
                  <c:v>-128.5</c:v>
                </c:pt>
                <c:pt idx="5">
                  <c:v>-121.5</c:v>
                </c:pt>
                <c:pt idx="6">
                  <c:v>0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0">
                  <c:v>5.3719343142727957E-2</c:v>
                </c:pt>
                <c:pt idx="1">
                  <c:v>9.460936975539419E-2</c:v>
                </c:pt>
                <c:pt idx="2">
                  <c:v>9.7543607776210517E-2</c:v>
                </c:pt>
                <c:pt idx="3">
                  <c:v>9.8821421107856341E-2</c:v>
                </c:pt>
                <c:pt idx="4">
                  <c:v>0.12276858947129282</c:v>
                </c:pt>
                <c:pt idx="5">
                  <c:v>0.12343115934696103</c:v>
                </c:pt>
                <c:pt idx="6">
                  <c:v>0.13493147933177341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5F7-44DF-81B6-F92F3AE389E0}"/>
            </c:ext>
          </c:extLst>
        </c:ser>
        <c:ser>
          <c:idx val="8"/>
          <c:order val="8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-858</c:v>
                </c:pt>
                <c:pt idx="1">
                  <c:v>-426</c:v>
                </c:pt>
                <c:pt idx="2">
                  <c:v>-395</c:v>
                </c:pt>
                <c:pt idx="3">
                  <c:v>-381.5</c:v>
                </c:pt>
                <c:pt idx="4">
                  <c:v>-128.5</c:v>
                </c:pt>
                <c:pt idx="5">
                  <c:v>-121.5</c:v>
                </c:pt>
                <c:pt idx="6">
                  <c:v>0</c:v>
                </c:pt>
              </c:numCache>
            </c:numRef>
          </c:xVal>
          <c:yVal>
            <c:numRef>
              <c:f>'Active 1'!$P$21:$P$921</c:f>
              <c:numCache>
                <c:formatCode>General</c:formatCode>
                <c:ptCount val="901"/>
                <c:pt idx="0">
                  <c:v>-0.53765661963660016</c:v>
                </c:pt>
                <c:pt idx="1">
                  <c:v>-0.34971623522912237</c:v>
                </c:pt>
                <c:pt idx="2">
                  <c:v>-0.33622977245914132</c:v>
                </c:pt>
                <c:pt idx="3">
                  <c:v>-0.33035663544640764</c:v>
                </c:pt>
                <c:pt idx="4">
                  <c:v>-0.22028969735591714</c:v>
                </c:pt>
                <c:pt idx="5">
                  <c:v>-0.21724436705301819</c:v>
                </c:pt>
                <c:pt idx="6">
                  <c:v>-0.16438613393841506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5F7-44DF-81B6-F92F3AE38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3948056"/>
        <c:axId val="1"/>
      </c:scatterChart>
      <c:valAx>
        <c:axId val="5239480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39480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35483870967742"/>
          <c:y val="0.92097264437689974"/>
          <c:w val="0.8032258064516129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GL Car - Prim. O-C Diagr.</a:t>
            </a:r>
          </a:p>
        </c:rich>
      </c:tx>
      <c:layout>
        <c:manualLayout>
          <c:xMode val="edge"/>
          <c:yMode val="edge"/>
          <c:x val="0.30784708249496984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94164989939638"/>
          <c:y val="0.14634168126798494"/>
          <c:w val="0.79275653923541245"/>
          <c:h val="0.63109850046818505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-858</c:v>
                </c:pt>
                <c:pt idx="1">
                  <c:v>-426</c:v>
                </c:pt>
                <c:pt idx="2">
                  <c:v>-395</c:v>
                </c:pt>
                <c:pt idx="3">
                  <c:v>-381.5</c:v>
                </c:pt>
                <c:pt idx="4">
                  <c:v>-128.5</c:v>
                </c:pt>
                <c:pt idx="5">
                  <c:v>-121.5</c:v>
                </c:pt>
                <c:pt idx="6">
                  <c:v>0</c:v>
                </c:pt>
              </c:numCache>
            </c:numRef>
          </c:xVal>
          <c:yVal>
            <c:numRef>
              <c:f>'Active 1'!$R$21:$R$921</c:f>
              <c:numCache>
                <c:formatCode>General</c:formatCode>
                <c:ptCount val="901"/>
                <c:pt idx="0">
                  <c:v>-5.5712399996991735E-2</c:v>
                </c:pt>
                <c:pt idx="1">
                  <c:v>9.7372000018367544E-3</c:v>
                </c:pt>
                <c:pt idx="2">
                  <c:v>0.42677900000126101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E9-4C98-862F-FD809FA6658F}"/>
            </c:ext>
          </c:extLst>
        </c:ser>
        <c:ser>
          <c:idx val="7"/>
          <c:order val="1"/>
          <c:tx>
            <c:strRef>
              <c:f>'Active 1'!$O$20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-858</c:v>
                </c:pt>
                <c:pt idx="1">
                  <c:v>-426</c:v>
                </c:pt>
                <c:pt idx="2">
                  <c:v>-395</c:v>
                </c:pt>
                <c:pt idx="3">
                  <c:v>-381.5</c:v>
                </c:pt>
                <c:pt idx="4">
                  <c:v>-128.5</c:v>
                </c:pt>
                <c:pt idx="5">
                  <c:v>-121.5</c:v>
                </c:pt>
                <c:pt idx="6">
                  <c:v>0</c:v>
                </c:pt>
              </c:numCache>
            </c:numRef>
          </c:xVal>
          <c:yVal>
            <c:numRef>
              <c:f>'Active 1'!$O$21:$O$921</c:f>
              <c:numCache>
                <c:formatCode>General</c:formatCode>
                <c:ptCount val="901"/>
                <c:pt idx="0">
                  <c:v>5.3719343142727957E-2</c:v>
                </c:pt>
                <c:pt idx="1">
                  <c:v>9.460936975539419E-2</c:v>
                </c:pt>
                <c:pt idx="2">
                  <c:v>9.7543607776210517E-2</c:v>
                </c:pt>
                <c:pt idx="3">
                  <c:v>9.8821421107856341E-2</c:v>
                </c:pt>
                <c:pt idx="4">
                  <c:v>0.12276858947129282</c:v>
                </c:pt>
                <c:pt idx="5">
                  <c:v>0.12343115934696103</c:v>
                </c:pt>
                <c:pt idx="6">
                  <c:v>0.13493147933177341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E9-4C98-862F-FD809FA66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967016"/>
        <c:axId val="1"/>
      </c:scatterChart>
      <c:valAx>
        <c:axId val="739967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15090543259557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338028169014086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99670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1046277665995978"/>
          <c:y val="0.92073298764483702"/>
          <c:w val="0.29376257545271622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GL Car - Sec. O-C Diagr.</a:t>
            </a:r>
          </a:p>
        </c:rich>
      </c:tx>
      <c:layout>
        <c:manualLayout>
          <c:xMode val="edge"/>
          <c:yMode val="edge"/>
          <c:x val="0.31020429589158499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1838320948582"/>
          <c:y val="0.1458966565349544"/>
          <c:w val="0.78979670539371949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'Active 1'!$S$20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-858</c:v>
                </c:pt>
                <c:pt idx="1">
                  <c:v>-426</c:v>
                </c:pt>
                <c:pt idx="2">
                  <c:v>-395</c:v>
                </c:pt>
                <c:pt idx="3">
                  <c:v>-381.5</c:v>
                </c:pt>
                <c:pt idx="4">
                  <c:v>-128.5</c:v>
                </c:pt>
                <c:pt idx="5">
                  <c:v>-121.5</c:v>
                </c:pt>
                <c:pt idx="6">
                  <c:v>0</c:v>
                </c:pt>
              </c:numCache>
            </c:numRef>
          </c:xVal>
          <c:yVal>
            <c:numRef>
              <c:f>'Active 1'!$S$21:$S$921</c:f>
              <c:numCache>
                <c:formatCode>General</c:formatCode>
                <c:ptCount val="901"/>
                <c:pt idx="3">
                  <c:v>-0.33044069999596104</c:v>
                </c:pt>
                <c:pt idx="4">
                  <c:v>-0.2171672998010763</c:v>
                </c:pt>
                <c:pt idx="5">
                  <c:v>-0.22028270005830564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FE-495A-B413-9FB8F4D5D30A}"/>
            </c:ext>
          </c:extLst>
        </c:ser>
        <c:ser>
          <c:idx val="7"/>
          <c:order val="1"/>
          <c:tx>
            <c:strRef>
              <c:f>'Active 1'!$P$20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1'!$F$21:$F$921</c:f>
              <c:numCache>
                <c:formatCode>General</c:formatCode>
                <c:ptCount val="901"/>
                <c:pt idx="0">
                  <c:v>-858</c:v>
                </c:pt>
                <c:pt idx="1">
                  <c:v>-426</c:v>
                </c:pt>
                <c:pt idx="2">
                  <c:v>-395</c:v>
                </c:pt>
                <c:pt idx="3">
                  <c:v>-381.5</c:v>
                </c:pt>
                <c:pt idx="4">
                  <c:v>-128.5</c:v>
                </c:pt>
                <c:pt idx="5">
                  <c:v>-121.5</c:v>
                </c:pt>
                <c:pt idx="6">
                  <c:v>0</c:v>
                </c:pt>
              </c:numCache>
            </c:numRef>
          </c:xVal>
          <c:yVal>
            <c:numRef>
              <c:f>'Active 1'!$P$21:$P$921</c:f>
              <c:numCache>
                <c:formatCode>General</c:formatCode>
                <c:ptCount val="901"/>
                <c:pt idx="0">
                  <c:v>-0.53765661963660016</c:v>
                </c:pt>
                <c:pt idx="1">
                  <c:v>-0.34971623522912237</c:v>
                </c:pt>
                <c:pt idx="2">
                  <c:v>-0.33622977245914132</c:v>
                </c:pt>
                <c:pt idx="3">
                  <c:v>-0.33035663544640764</c:v>
                </c:pt>
                <c:pt idx="4">
                  <c:v>-0.22028969735591714</c:v>
                </c:pt>
                <c:pt idx="5">
                  <c:v>-0.21724436705301819</c:v>
                </c:pt>
                <c:pt idx="6">
                  <c:v>-0.16438613393841506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FE-495A-B413-9FB8F4D5D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7493776"/>
        <c:axId val="1"/>
      </c:scatterChart>
      <c:valAx>
        <c:axId val="687493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49022443623117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74937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775553055868017"/>
          <c:y val="0.92097264437689974"/>
          <c:w val="0.33061267341582301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104774</xdr:colOff>
      <xdr:row>0</xdr:row>
      <xdr:rowOff>38100</xdr:rowOff>
    </xdr:from>
    <xdr:to>
      <xdr:col>17</xdr:col>
      <xdr:colOff>609599</xdr:colOff>
      <xdr:row>18</xdr:row>
      <xdr:rowOff>85725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89FEA9E8-4153-7B70-72A7-06BCD78A5E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0</xdr:rowOff>
    </xdr:from>
    <xdr:to>
      <xdr:col>14</xdr:col>
      <xdr:colOff>447675</xdr:colOff>
      <xdr:row>19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CD04F2-E976-9A61-8B7A-AA99F8F1DC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266700</xdr:colOff>
      <xdr:row>20</xdr:row>
      <xdr:rowOff>76200</xdr:rowOff>
    </xdr:from>
    <xdr:to>
      <xdr:col>14</xdr:col>
      <xdr:colOff>457200</xdr:colOff>
      <xdr:row>39</xdr:row>
      <xdr:rowOff>133350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EEC873E2-DF74-F27A-02E6-7F586C54BE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workbookViewId="0">
      <selection activeCell="E7" sqref="E7"/>
    </sheetView>
  </sheetViews>
  <sheetFormatPr defaultColWidth="10.28515625" defaultRowHeight="12.75"/>
  <cols>
    <col min="1" max="1" width="14.42578125" customWidth="1"/>
    <col min="2" max="2" width="3.85546875" customWidth="1"/>
    <col min="3" max="3" width="10.42578125" customWidth="1"/>
    <col min="4" max="4" width="8.28515625" customWidth="1"/>
    <col min="5" max="5" width="12.85546875" customWidth="1"/>
    <col min="6" max="6" width="17" customWidth="1"/>
    <col min="7" max="7" width="9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35</v>
      </c>
      <c r="E1" s="30" t="s">
        <v>47</v>
      </c>
    </row>
    <row r="2" spans="1:6">
      <c r="A2" t="s">
        <v>15</v>
      </c>
      <c r="B2" s="29" t="s">
        <v>36</v>
      </c>
      <c r="C2" s="12"/>
      <c r="D2" s="38" t="s">
        <v>48</v>
      </c>
    </row>
    <row r="3" spans="1:6" ht="13.5" thickBot="1"/>
    <row r="4" spans="1:6" ht="14.25" thickTop="1" thickBot="1">
      <c r="A4" s="6" t="s">
        <v>37</v>
      </c>
      <c r="C4" s="31">
        <v>52500.4</v>
      </c>
      <c r="D4" s="32">
        <v>2.422231</v>
      </c>
      <c r="E4" s="33" t="s">
        <v>38</v>
      </c>
    </row>
    <row r="5" spans="1:6" ht="13.5" thickTop="1">
      <c r="A5" s="27" t="s">
        <v>29</v>
      </c>
      <c r="B5" s="21"/>
      <c r="C5" s="28">
        <v>-9.5</v>
      </c>
      <c r="D5" s="21" t="s">
        <v>30</v>
      </c>
    </row>
    <row r="6" spans="1:6">
      <c r="A6" s="6" t="s">
        <v>0</v>
      </c>
    </row>
    <row r="7" spans="1:6">
      <c r="A7" t="s">
        <v>1</v>
      </c>
      <c r="C7">
        <v>54578.790999999997</v>
      </c>
      <c r="D7" s="39" t="s">
        <v>53</v>
      </c>
      <c r="F7">
        <v>52500.4</v>
      </c>
    </row>
    <row r="8" spans="1:6">
      <c r="A8" t="s">
        <v>2</v>
      </c>
      <c r="C8">
        <v>2.4223021999999998</v>
      </c>
      <c r="D8" s="39" t="s">
        <v>53</v>
      </c>
      <c r="F8">
        <v>2.422231</v>
      </c>
    </row>
    <row r="9" spans="1:6">
      <c r="A9" s="19" t="s">
        <v>26</v>
      </c>
      <c r="B9" s="19"/>
      <c r="C9" s="20">
        <v>21</v>
      </c>
      <c r="D9" s="20">
        <v>21</v>
      </c>
    </row>
    <row r="10" spans="1:6" ht="13.5" thickBot="1">
      <c r="A10" s="21"/>
      <c r="B10" s="21"/>
      <c r="C10" s="5" t="s">
        <v>17</v>
      </c>
      <c r="D10" s="5" t="s">
        <v>18</v>
      </c>
      <c r="E10" s="42" t="s">
        <v>54</v>
      </c>
      <c r="F10" s="43" t="s">
        <v>55</v>
      </c>
    </row>
    <row r="11" spans="1:6">
      <c r="A11" s="21" t="s">
        <v>12</v>
      </c>
      <c r="B11" s="21"/>
      <c r="C11" s="22">
        <f ca="1">INTERCEPT(INDIRECT(C14):R$935,INDIRECT(C13):$F$935)</f>
        <v>0.13493147933177341</v>
      </c>
      <c r="D11" s="22">
        <f ca="1">INTERCEPT(INDIRECT(D14):S$935,INDIRECT(D13):$F$935)</f>
        <v>-0.16438613393841506</v>
      </c>
      <c r="E11" s="44" t="s">
        <v>31</v>
      </c>
      <c r="F11" s="45">
        <v>1</v>
      </c>
    </row>
    <row r="12" spans="1:6">
      <c r="A12" s="21" t="s">
        <v>13</v>
      </c>
      <c r="B12" s="21"/>
      <c r="C12" s="22">
        <f ca="1">SLOPE(INDIRECT(C14):R$935,INDIRECT(C13):$F$935)</f>
        <v>9.4652839381171856E-5</v>
      </c>
      <c r="D12" s="22">
        <f ca="1">SLOPE(INDIRECT(D14):S$935,INDIRECT(D13):$F$935)</f>
        <v>4.3504718612842093E-4</v>
      </c>
      <c r="E12" s="44" t="s">
        <v>32</v>
      </c>
      <c r="F12" s="46">
        <f ca="1">NOW()+15018.5+$C$5/24</f>
        <v>60518.616973032404</v>
      </c>
    </row>
    <row r="13" spans="1:6">
      <c r="A13" s="19" t="s">
        <v>27</v>
      </c>
      <c r="B13" s="19"/>
      <c r="C13" s="20" t="str">
        <f>"F"&amp;C9</f>
        <v>F21</v>
      </c>
      <c r="D13" s="20" t="str">
        <f>"F"&amp;D9</f>
        <v>F21</v>
      </c>
      <c r="E13" s="44" t="s">
        <v>33</v>
      </c>
      <c r="F13" s="46">
        <f ca="1">ROUND(2*(F12-$C$7)/$C$8,0)/2+F11</f>
        <v>2453</v>
      </c>
    </row>
    <row r="14" spans="1:6">
      <c r="A14" s="19" t="s">
        <v>28</v>
      </c>
      <c r="B14" s="19"/>
      <c r="C14" s="20" t="str">
        <f>"R"&amp;C9</f>
        <v>R21</v>
      </c>
      <c r="D14" s="20" t="str">
        <f>"S"&amp;D9</f>
        <v>S21</v>
      </c>
      <c r="E14" s="44" t="s">
        <v>34</v>
      </c>
      <c r="F14" s="47">
        <f ca="1">ROUND(2*(F12-$C$15)/$C$16,0)/2+F11</f>
        <v>2453</v>
      </c>
    </row>
    <row r="15" spans="1:6">
      <c r="A15" s="23" t="s">
        <v>14</v>
      </c>
      <c r="B15" s="21"/>
      <c r="C15" s="24">
        <f ca="1">($C7+C11)+($C8+C12)*INT(MAX($F21:$F3533))</f>
        <v>54578.925931479331</v>
      </c>
      <c r="D15" s="24">
        <f ca="1">($C7+D11)+($C8+D12)*INT(MAX($F21:$F3533))</f>
        <v>54578.626613866058</v>
      </c>
      <c r="E15" s="44" t="s">
        <v>51</v>
      </c>
      <c r="F15" s="48">
        <f ca="1">+$C$15+$C$16*$F$14-15018.5-$C$5/24</f>
        <v>45502.961244827668</v>
      </c>
    </row>
    <row r="16" spans="1:6">
      <c r="A16" s="25" t="s">
        <v>3</v>
      </c>
      <c r="B16" s="21"/>
      <c r="C16" s="26">
        <f ca="1">+$C8+C12</f>
        <v>2.4223968528393809</v>
      </c>
      <c r="D16" s="22">
        <f ca="1">+$C8+D12</f>
        <v>2.4227372471861282</v>
      </c>
      <c r="E16" s="49" t="s">
        <v>52</v>
      </c>
      <c r="F16" s="50">
        <f ca="1">+($D$15+$D$16*$F$14)-($D$16/2)-15018.5-$C$5/24</f>
        <v>45502.285545923376</v>
      </c>
    </row>
    <row r="17" spans="1:19" ht="13.5" thickBot="1">
      <c r="A17" s="18" t="s">
        <v>25</v>
      </c>
      <c r="C17">
        <f>COUNT(C21:C1247)</f>
        <v>7</v>
      </c>
    </row>
    <row r="18" spans="1:19" ht="14.25" thickTop="1" thickBot="1">
      <c r="A18" s="6" t="s">
        <v>20</v>
      </c>
      <c r="C18" s="3">
        <f ca="1">+C15</f>
        <v>54578.925931479331</v>
      </c>
      <c r="D18" s="4">
        <f ca="1">+C16</f>
        <v>2.4223968528393809</v>
      </c>
      <c r="E18" s="40">
        <f>$R$19</f>
        <v>4</v>
      </c>
    </row>
    <row r="19" spans="1:19" ht="14.25" thickTop="1" thickBot="1">
      <c r="A19" s="6" t="s">
        <v>21</v>
      </c>
      <c r="C19" s="3">
        <f ca="1">+D15</f>
        <v>54578.626613866058</v>
      </c>
      <c r="D19" s="4">
        <f ca="1">+D16</f>
        <v>2.4227372471861282</v>
      </c>
      <c r="E19" s="41">
        <f>S19</f>
        <v>3</v>
      </c>
      <c r="R19">
        <f>COUNT(R21:R322)</f>
        <v>4</v>
      </c>
      <c r="S19">
        <f>COUNT(S21:S322)</f>
        <v>3</v>
      </c>
    </row>
    <row r="20" spans="1:19" ht="14.25" thickTop="1" thickBot="1">
      <c r="A20" s="5" t="s">
        <v>4</v>
      </c>
      <c r="B20" s="5" t="s">
        <v>5</v>
      </c>
      <c r="C20" s="5" t="s">
        <v>6</v>
      </c>
      <c r="D20" s="5" t="s">
        <v>10</v>
      </c>
      <c r="E20" s="5" t="s">
        <v>7</v>
      </c>
      <c r="F20" s="5" t="s">
        <v>8</v>
      </c>
      <c r="G20" s="5" t="s">
        <v>9</v>
      </c>
      <c r="H20" s="8" t="s">
        <v>53</v>
      </c>
      <c r="I20" s="8" t="s">
        <v>56</v>
      </c>
      <c r="J20" s="8" t="s">
        <v>49</v>
      </c>
      <c r="K20" s="8" t="s">
        <v>50</v>
      </c>
      <c r="L20" s="8" t="s">
        <v>24</v>
      </c>
      <c r="M20" s="8" t="s">
        <v>16</v>
      </c>
      <c r="N20" s="8" t="s">
        <v>19</v>
      </c>
      <c r="O20" s="8" t="s">
        <v>22</v>
      </c>
      <c r="P20" s="7" t="s">
        <v>23</v>
      </c>
      <c r="Q20" s="5" t="s">
        <v>11</v>
      </c>
      <c r="R20" s="7" t="s">
        <v>17</v>
      </c>
      <c r="S20" s="7" t="s">
        <v>18</v>
      </c>
    </row>
    <row r="21" spans="1:19">
      <c r="A21" s="34" t="s">
        <v>39</v>
      </c>
      <c r="B21" s="35" t="s">
        <v>40</v>
      </c>
      <c r="C21" s="34">
        <v>52500.4</v>
      </c>
      <c r="D21" s="36"/>
      <c r="E21">
        <f t="shared" ref="E21:E26" si="0">+(C21-C$7)/C$8</f>
        <v>-858.02299977269399</v>
      </c>
      <c r="F21">
        <f t="shared" ref="F21:F26" si="1">ROUND(2*E21,0)/2</f>
        <v>-858</v>
      </c>
      <c r="G21">
        <f t="shared" ref="G21:G26" si="2">+C21-(C$7+F21*C$8)</f>
        <v>-5.5712399996991735E-2</v>
      </c>
      <c r="I21">
        <f t="shared" ref="I21" si="3">+G21</f>
        <v>-5.5712399996991735E-2</v>
      </c>
      <c r="O21">
        <f t="shared" ref="O21:P26" ca="1" si="4">+C$11+C$12*$F21</f>
        <v>5.3719343142727957E-2</v>
      </c>
      <c r="P21">
        <f t="shared" ca="1" si="4"/>
        <v>-0.53765661963660016</v>
      </c>
      <c r="Q21" s="2">
        <f t="shared" ref="Q21:Q26" si="5">+C21-15018.5</f>
        <v>37481.9</v>
      </c>
      <c r="R21">
        <f>G21</f>
        <v>-5.5712399996991735E-2</v>
      </c>
    </row>
    <row r="22" spans="1:19">
      <c r="A22" s="34" t="s">
        <v>41</v>
      </c>
      <c r="B22" s="34"/>
      <c r="C22" s="37">
        <v>53546.9</v>
      </c>
      <c r="D22" s="37">
        <v>2E-3</v>
      </c>
      <c r="E22">
        <f t="shared" si="0"/>
        <v>-425.99598018777181</v>
      </c>
      <c r="F22">
        <f t="shared" si="1"/>
        <v>-426</v>
      </c>
      <c r="G22">
        <f t="shared" si="2"/>
        <v>9.7372000018367544E-3</v>
      </c>
      <c r="K22">
        <f>+G22</f>
        <v>9.7372000018367544E-3</v>
      </c>
      <c r="O22">
        <f t="shared" ca="1" si="4"/>
        <v>9.460936975539419E-2</v>
      </c>
      <c r="P22">
        <f t="shared" ca="1" si="4"/>
        <v>-0.34971623522912237</v>
      </c>
      <c r="Q22" s="2">
        <f t="shared" si="5"/>
        <v>38528.400000000001</v>
      </c>
      <c r="R22">
        <f>G22</f>
        <v>9.7372000018367544E-3</v>
      </c>
    </row>
    <row r="23" spans="1:19">
      <c r="A23" s="11" t="s">
        <v>42</v>
      </c>
      <c r="B23" s="35" t="s">
        <v>40</v>
      </c>
      <c r="C23" s="34">
        <v>53622.408409999996</v>
      </c>
      <c r="D23" s="34" t="s">
        <v>43</v>
      </c>
      <c r="E23">
        <f t="shared" si="0"/>
        <v>-394.82381265227815</v>
      </c>
      <c r="F23">
        <f t="shared" si="1"/>
        <v>-395</v>
      </c>
      <c r="G23">
        <f t="shared" si="2"/>
        <v>0.42677900000126101</v>
      </c>
      <c r="K23">
        <f>+G23</f>
        <v>0.42677900000126101</v>
      </c>
      <c r="O23">
        <f t="shared" ca="1" si="4"/>
        <v>9.7543607776210517E-2</v>
      </c>
      <c r="P23">
        <f t="shared" ca="1" si="4"/>
        <v>-0.33622977245914132</v>
      </c>
      <c r="Q23" s="2">
        <f t="shared" si="5"/>
        <v>38603.908409999996</v>
      </c>
      <c r="R23">
        <f>G23</f>
        <v>0.42677900000126101</v>
      </c>
    </row>
    <row r="24" spans="1:19">
      <c r="A24" s="11" t="s">
        <v>42</v>
      </c>
      <c r="B24" s="35" t="s">
        <v>40</v>
      </c>
      <c r="C24" s="34">
        <v>53654.352270000003</v>
      </c>
      <c r="D24" s="34" t="s">
        <v>44</v>
      </c>
      <c r="E24">
        <f t="shared" si="0"/>
        <v>-381.63641596824476</v>
      </c>
      <c r="F24">
        <f t="shared" si="1"/>
        <v>-381.5</v>
      </c>
      <c r="G24">
        <f t="shared" si="2"/>
        <v>-0.33044069999596104</v>
      </c>
      <c r="K24">
        <f>+G24</f>
        <v>-0.33044069999596104</v>
      </c>
      <c r="O24">
        <f t="shared" ca="1" si="4"/>
        <v>9.8821421107856341E-2</v>
      </c>
      <c r="P24">
        <f t="shared" ca="1" si="4"/>
        <v>-0.33035663544640764</v>
      </c>
      <c r="Q24" s="2">
        <f t="shared" si="5"/>
        <v>38635.852270000003</v>
      </c>
      <c r="S24">
        <f>G24</f>
        <v>-0.33044069999596104</v>
      </c>
    </row>
    <row r="25" spans="1:19">
      <c r="A25" s="11" t="s">
        <v>45</v>
      </c>
      <c r="B25" s="35" t="s">
        <v>46</v>
      </c>
      <c r="C25" s="34">
        <v>54267.308000000194</v>
      </c>
      <c r="D25" s="34">
        <f>0.004</f>
        <v>4.0000000000000001E-3</v>
      </c>
      <c r="E25">
        <f t="shared" si="0"/>
        <v>-128.58965326448688</v>
      </c>
      <c r="F25">
        <f t="shared" si="1"/>
        <v>-128.5</v>
      </c>
      <c r="G25">
        <f t="shared" si="2"/>
        <v>-0.2171672998010763</v>
      </c>
      <c r="K25">
        <f>+G25</f>
        <v>-0.2171672998010763</v>
      </c>
      <c r="O25">
        <f t="shared" ca="1" si="4"/>
        <v>0.12276858947129282</v>
      </c>
      <c r="P25">
        <f t="shared" ca="1" si="4"/>
        <v>-0.22028969735591714</v>
      </c>
      <c r="Q25" s="2">
        <f t="shared" si="5"/>
        <v>39248.808000000194</v>
      </c>
      <c r="S25">
        <f>G25</f>
        <v>-0.2171672998010763</v>
      </c>
    </row>
    <row r="26" spans="1:19">
      <c r="A26" s="11" t="s">
        <v>45</v>
      </c>
      <c r="B26" s="35" t="s">
        <v>46</v>
      </c>
      <c r="C26" s="34">
        <v>54284.26099999994</v>
      </c>
      <c r="D26" s="34">
        <f>0.005</f>
        <v>5.0000000000000001E-3</v>
      </c>
      <c r="E26">
        <f t="shared" si="0"/>
        <v>-121.59093939643743</v>
      </c>
      <c r="F26">
        <f t="shared" si="1"/>
        <v>-121.5</v>
      </c>
      <c r="G26">
        <f t="shared" si="2"/>
        <v>-0.22028270005830564</v>
      </c>
      <c r="K26">
        <f>+G26</f>
        <v>-0.22028270005830564</v>
      </c>
      <c r="O26">
        <f t="shared" ca="1" si="4"/>
        <v>0.12343115934696103</v>
      </c>
      <c r="P26">
        <f t="shared" ca="1" si="4"/>
        <v>-0.21724436705301819</v>
      </c>
      <c r="Q26" s="2">
        <f t="shared" si="5"/>
        <v>39265.76099999994</v>
      </c>
      <c r="S26">
        <f>G26</f>
        <v>-0.22028270005830564</v>
      </c>
    </row>
    <row r="27" spans="1:19">
      <c r="A27" s="9" t="str">
        <f>$D$7</f>
        <v>VSX</v>
      </c>
      <c r="B27" s="9"/>
      <c r="C27" s="10">
        <f>$C$7</f>
        <v>54578.790999999997</v>
      </c>
      <c r="D27" s="10"/>
      <c r="E27">
        <f t="shared" ref="E27" si="6">+(C27-C$7)/C$8</f>
        <v>0</v>
      </c>
      <c r="F27">
        <f t="shared" ref="F27" si="7">ROUND(2*E27,0)/2</f>
        <v>0</v>
      </c>
      <c r="G27">
        <f t="shared" ref="G27" si="8">+C27-(C$7+F27*C$8)</f>
        <v>0</v>
      </c>
      <c r="H27">
        <f>+G27</f>
        <v>0</v>
      </c>
      <c r="O27">
        <f t="shared" ref="O27" ca="1" si="9">+C$11+C$12*$F27</f>
        <v>0.13493147933177341</v>
      </c>
      <c r="P27">
        <f t="shared" ref="P27" ca="1" si="10">+D$11+D$12*$F27</f>
        <v>-0.16438613393841506</v>
      </c>
      <c r="Q27" s="2">
        <f t="shared" ref="Q27" si="11">+C27-15018.5</f>
        <v>39560.290999999997</v>
      </c>
      <c r="R27">
        <f>G27</f>
        <v>0</v>
      </c>
    </row>
    <row r="28" spans="1:19">
      <c r="A28" s="9"/>
      <c r="B28" s="9"/>
      <c r="C28" s="10"/>
      <c r="D28" s="10"/>
      <c r="Q28" s="2"/>
    </row>
    <row r="29" spans="1:19">
      <c r="A29" s="14"/>
      <c r="B29" s="15"/>
      <c r="C29" s="10"/>
      <c r="D29" s="10"/>
      <c r="Q29" s="2"/>
    </row>
    <row r="30" spans="1:19">
      <c r="A30" s="11"/>
      <c r="B30" s="12"/>
      <c r="C30" s="10"/>
      <c r="D30" s="13"/>
      <c r="Q30" s="2"/>
    </row>
    <row r="31" spans="1:19">
      <c r="A31" s="14"/>
      <c r="B31" s="16"/>
      <c r="C31" s="10"/>
      <c r="D31" s="10"/>
      <c r="Q31" s="2"/>
    </row>
    <row r="32" spans="1:19">
      <c r="A32" s="14"/>
      <c r="B32" s="16"/>
      <c r="C32" s="10"/>
      <c r="D32" s="10"/>
      <c r="Q32" s="2"/>
    </row>
    <row r="33" spans="1:17">
      <c r="A33" s="17"/>
      <c r="B33" s="12"/>
      <c r="C33" s="10"/>
      <c r="D33" s="13"/>
      <c r="Q33" s="2"/>
    </row>
    <row r="34" spans="1:17">
      <c r="A34" s="17"/>
      <c r="B34" s="12"/>
      <c r="C34" s="10"/>
      <c r="D34" s="13"/>
      <c r="Q34" s="2"/>
    </row>
    <row r="35" spans="1:17">
      <c r="A35" s="17"/>
      <c r="B35" s="12"/>
      <c r="C35" s="10"/>
      <c r="D35" s="13"/>
      <c r="Q35" s="2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2024-07-27T02:48:26Z</dcterms:modified>
</cp:coreProperties>
</file>