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FE8ED2-E765-46EF-85DF-9BC441534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C17" i="1" s="1"/>
  <c r="A22" i="1"/>
  <c r="F14" i="1"/>
  <c r="Q23" i="1"/>
  <c r="Q24" i="1"/>
  <c r="G11" i="1"/>
  <c r="F11" i="1"/>
  <c r="E24" i="1"/>
  <c r="F24" i="1" s="1"/>
  <c r="G24" i="1" s="1"/>
  <c r="I24" i="1" s="1"/>
  <c r="E21" i="1"/>
  <c r="F21" i="1" s="1"/>
  <c r="G21" i="1" s="1"/>
  <c r="H21" i="1" s="1"/>
  <c r="Q21" i="1"/>
  <c r="E23" i="1"/>
  <c r="F23" i="1" s="1"/>
  <c r="G23" i="1" s="1"/>
  <c r="I23" i="1" s="1"/>
  <c r="C12" i="1"/>
  <c r="F15" i="1" l="1"/>
  <c r="C16" i="1"/>
  <c r="D18" i="1" s="1"/>
  <c r="C11" i="1"/>
  <c r="O22" i="1" l="1"/>
  <c r="O24" i="1"/>
  <c r="O21" i="1"/>
  <c r="C15" i="1"/>
  <c r="O23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<sst xmlns="http://schemas.openxmlformats.org/spreadsheetml/2006/main" count="53" uniqueCount="51">
  <si>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</si>
  <si>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</si>
  <si>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</si>
  <si>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</si>
  <si>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</si>
  <si>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</si>
  <si>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</si>
  <si>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</si>
  <si>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</si>
  <si>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</si>
  <si>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</si>
  <si>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</si>
  <si>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</si>
  <si>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</si>
  <si>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</si>
  <si>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</si>
  <si>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</si>
  <si>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</si>
  <si>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</si>
  <si>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</si>
  <si>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</si>
  <si>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</si>
  <si>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</si>
  <si>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</si>
  <si>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</si>
  <si>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</si>
  <si>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</si>
  <si>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</si>
  <si>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</si>
  <si>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</si>
  <si>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</si>
  <si>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</si>
  <si>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</si>
  <si>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</si>
  <si>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</si>
  <si>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GQ Car / GSC 8957-2084</t>
  </si>
  <si>
    <t>IBVS 5796</t>
  </si>
  <si>
    <t>II</t>
  </si>
  <si>
    <t>OEJV 0073</t>
  </si>
  <si>
    <t>I</t>
  </si>
  <si>
    <t>GCVS</t>
  </si>
  <si>
    <t>EW</t>
  </si>
  <si>
    <t>CCD</t>
  </si>
  <si>
    <t xml:space="preserve">Mag </t>
  </si>
  <si>
    <t>Add cycle</t>
  </si>
  <si>
    <t>Old Cycle</t>
  </si>
  <si>
    <t>Next ToM-P</t>
  </si>
  <si>
    <t>Next ToM-S</t>
  </si>
  <si>
    <t>12.0-13.4</t>
  </si>
  <si>
    <t>VSX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</si>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</sst>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" fillId="0" borderId="0" xfId="0" applyFont="1" applyAlignment="1"/>
    <xf numFmtId="0" fontId="0" fillId="2" borderId="5" xfId="0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0" fillId="0" borderId="8" xfId="0" applyBorder="1" applyAlignment="1"/>
    <xf numFmtId="0" fontId="16" fillId="0" borderId="8" xfId="0" applyFont="1" applyBorder="1" applyAlignment="1"/>
    <xf numFmtId="22" fontId="15" fillId="0" borderId="7" xfId="0" applyNumberFormat="1" applyFont="1" applyBorder="1" applyAlignment="1">
      <alignment horizontal="right"/>
    </xf>
    <xf numFmtId="22" fontId="16" fillId="0" borderId="8" xfId="0" applyNumberFormat="1" applyFont="1" applyBorder="1" applyAlignment="1"/>
    <xf numFmtId="22" fontId="16" fillId="0" borderId="9" xfId="0" applyNumberFormat="1" applyFont="1" applyBorder="1" applyAlignment="1"/>
    <xf numFmtId="0" fontId="15" fillId="0" borderId="10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-9.7229799997876398E-2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92-41CE-AB54-3903163E02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-0.11497765000240179</c:v>
                </c:pt>
                <c:pt idx="3">
                  <c:v>-1.8033002052106895E-3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92-41CE-AB54-3903163E02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92-41CE-AB54-3903163E02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92-41CE-AB54-3903163E02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92-41CE-AB54-3903163E02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92-41CE-AB54-3903163E02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1.1000000000000001E-3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92-41CE-AB54-3903163E02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-42034</c:v>
                </c:pt>
                <c:pt idx="1">
                  <c:v>0</c:v>
                </c:pt>
                <c:pt idx="2">
                  <c:v>2025.5</c:v>
                </c:pt>
                <c:pt idx="3">
                  <c:v>2211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-9.5484276443949662E-2</c:v>
                </c:pt>
                <c:pt idx="1">
                  <c:v>-4.1328240966769847E-2</c:v>
                </c:pt>
                <c:pt idx="2">
                  <c:v>-3.8718614239381832E-2</c:v>
                </c:pt>
                <c:pt idx="3">
                  <c:v>-3.8479618555387521E-2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92-41CE-AB54-3903163E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35144"/>
        <c:axId val="1"/>
      </c:scatterChart>
      <c:valAx>
        <c:axId val="63263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3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C7EC2B-D13B-EDBD-3C8D-544C9F648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24001.22</v>
      </c>
      <c r="D4" s="9">
        <v>0.68371000000000004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v>52741.656999999999</v>
      </c>
      <c r="D7" s="30" t="s">
        <v>49</v>
      </c>
    </row>
    <row r="8" spans="1:7" x14ac:dyDescent="0.2">
      <c r="A8" t="s">
        <v>3</v>
      </c>
      <c r="C8">
        <v>0.68374029999999997</v>
      </c>
      <c r="D8" s="30" t="s">
        <v>49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-4.1328240966769847E-2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1.2883864366270121E-6</v>
      </c>
      <c r="D12" s="3"/>
      <c r="E12" s="31" t="s">
        <v>43</v>
      </c>
      <c r="F12" s="32" t="s">
        <v>48</v>
      </c>
    </row>
    <row r="13" spans="1:7" x14ac:dyDescent="0.2">
      <c r="A13" s="12" t="s">
        <v>19</v>
      </c>
      <c r="B13" s="12"/>
      <c r="C13" s="3" t="s">
        <v>14</v>
      </c>
      <c r="D13" s="3"/>
      <c r="E13" s="33" t="s">
        <v>44</v>
      </c>
      <c r="F13" s="34">
        <v>1</v>
      </c>
    </row>
    <row r="14" spans="1:7" x14ac:dyDescent="0.2">
      <c r="A14" s="12"/>
      <c r="B14" s="12"/>
      <c r="C14" s="12"/>
      <c r="D14" s="12"/>
      <c r="E14" s="33" t="s">
        <v>32</v>
      </c>
      <c r="F14" s="35">
        <f ca="1">NOW()+15018.5+$C$9/24</f>
        <v>60518.618254166664</v>
      </c>
    </row>
    <row r="15" spans="1:7" x14ac:dyDescent="0.2">
      <c r="A15" s="14" t="s">
        <v>18</v>
      </c>
      <c r="B15" s="12"/>
      <c r="C15" s="15">
        <f ca="1">(C7+C11)+(C8+C12)*INT(MAX(F21:F3533))</f>
        <v>54253.368323681447</v>
      </c>
      <c r="D15" s="16"/>
      <c r="E15" s="33" t="s">
        <v>45</v>
      </c>
      <c r="F15" s="35">
        <f ca="1">ROUND(2*($F$14-$C$7)/$C$8,0)/2+$F$13</f>
        <v>11375</v>
      </c>
    </row>
    <row r="16" spans="1:7" x14ac:dyDescent="0.2">
      <c r="A16" s="17" t="s">
        <v>4</v>
      </c>
      <c r="B16" s="12"/>
      <c r="C16" s="18">
        <f ca="1">+C8+C12</f>
        <v>0.68374158838643662</v>
      </c>
      <c r="D16" s="16"/>
      <c r="E16" s="33" t="s">
        <v>33</v>
      </c>
      <c r="F16" s="35">
        <f ca="1">ROUND(2*($F$14-$C$15)/$C$16,0)/2+$F$13</f>
        <v>9164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/>
      <c r="E17" s="36" t="s">
        <v>46</v>
      </c>
      <c r="F17" s="37">
        <f ca="1">+$C$15+$C$16*$F$16-15018.5-$C$9/24</f>
        <v>45501.072072988085</v>
      </c>
    </row>
    <row r="18" spans="1:17" ht="14.25" thickTop="1" thickBot="1" x14ac:dyDescent="0.25">
      <c r="A18" s="17" t="s">
        <v>5</v>
      </c>
      <c r="B18" s="12"/>
      <c r="C18" s="19">
        <f ca="1">+C15</f>
        <v>54253.368323681447</v>
      </c>
      <c r="D18" s="20">
        <f ca="1">+C16</f>
        <v>0.68374158838643662</v>
      </c>
      <c r="E18" s="39" t="s">
        <v>47</v>
      </c>
      <c r="F18" s="38">
        <f ca="1">+($C$15+$C$16*$F$16)-($C$16/2)-15018.5-$C$9/24</f>
        <v>45500.730202193889</v>
      </c>
    </row>
    <row r="19" spans="1:17" ht="13.5" thickTop="1" x14ac:dyDescent="0.2">
      <c r="A19" s="24" t="s">
        <v>34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42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24001.22</v>
      </c>
      <c r="D21" s="10" t="s">
        <v>14</v>
      </c>
      <c r="E21">
        <f>+(C21-C$7)/C$8</f>
        <v>-42034.142202821742</v>
      </c>
      <c r="F21">
        <f>ROUND(2*E21,0)/2</f>
        <v>-42034</v>
      </c>
      <c r="G21">
        <f>+C21-(C$7+F21*C$8)</f>
        <v>-9.7229799997876398E-2</v>
      </c>
      <c r="H21">
        <f>+G21</f>
        <v>-9.7229799997876398E-2</v>
      </c>
      <c r="O21">
        <f ca="1">+C$11+C$12*$F21</f>
        <v>-9.5484276443949662E-2</v>
      </c>
      <c r="Q21" s="2">
        <f>+C21-15018.5</f>
        <v>8982.7200000000012</v>
      </c>
    </row>
    <row r="22" spans="1:17" x14ac:dyDescent="0.2">
      <c r="A22" t="str">
        <f>$D$7</f>
        <v>VSX</v>
      </c>
      <c r="C22" s="10">
        <f>$C$7</f>
        <v>52741.656999999999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-4.1328240966769847E-2</v>
      </c>
      <c r="Q22" s="2">
        <f>+C22-15018.5</f>
        <v>37723.156999999999</v>
      </c>
    </row>
    <row r="23" spans="1:17" x14ac:dyDescent="0.2">
      <c r="A23" s="26" t="s">
        <v>36</v>
      </c>
      <c r="B23" s="27" t="s">
        <v>37</v>
      </c>
      <c r="C23" s="26">
        <v>54126.457999999999</v>
      </c>
      <c r="D23" s="26">
        <v>1.1000000000000001E-3</v>
      </c>
      <c r="E23">
        <f>+(C23-C$7)/C$8</f>
        <v>2025.3318401738197</v>
      </c>
      <c r="F23">
        <f>ROUND(2*E23,0)/2</f>
        <v>2025.5</v>
      </c>
      <c r="G23">
        <f>+C23-(C$7+F23*C$8)</f>
        <v>-0.11497765000240179</v>
      </c>
      <c r="I23">
        <f>+G23</f>
        <v>-0.11497765000240179</v>
      </c>
      <c r="O23">
        <f ca="1">+C$11+C$12*$F23</f>
        <v>-3.8718614239381832E-2</v>
      </c>
      <c r="Q23" s="2">
        <f>+C23-15018.5</f>
        <v>39107.957999999999</v>
      </c>
    </row>
    <row r="24" spans="1:17" x14ac:dyDescent="0.2">
      <c r="A24" s="28" t="s">
        <v>38</v>
      </c>
      <c r="B24" s="29" t="s">
        <v>39</v>
      </c>
      <c r="C24" s="28">
        <v>54253.404999999795</v>
      </c>
      <c r="D24" s="28">
        <v>3.0000000000000001E-3</v>
      </c>
      <c r="E24">
        <f>+(C24-C$7)/C$8</f>
        <v>2210.9973625948273</v>
      </c>
      <c r="F24">
        <f>ROUND(2*E24,0)/2</f>
        <v>2211</v>
      </c>
      <c r="G24">
        <f>+C24-(C$7+F24*C$8)</f>
        <v>-1.8033002052106895E-3</v>
      </c>
      <c r="I24">
        <f>+G24</f>
        <v>-1.8033002052106895E-3</v>
      </c>
      <c r="O24">
        <f ca="1">+C$11+C$12*$F24</f>
        <v>-3.8479618555387521E-2</v>
      </c>
      <c r="Q24" s="2">
        <f>+C24-15018.5</f>
        <v>39234.904999999795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T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2024-07-27T02:50:17Z</dcterms:modified>
</cp:coreProperties>
</file>