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5597277-3213-47D8-BFCE-C0C633037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J23" i="1" s="1"/>
  <c r="Q23" i="1"/>
  <c r="C23" i="1"/>
  <c r="A23" i="1"/>
  <c r="E22" i="1"/>
  <c r="F22" i="1" s="1"/>
  <c r="G22" i="1" s="1"/>
  <c r="J22" i="1" s="1"/>
  <c r="E9" i="1"/>
  <c r="D9" i="1"/>
  <c r="Q24" i="1"/>
  <c r="Q21" i="1"/>
  <c r="E24" i="1"/>
  <c r="F24" i="1" s="1"/>
  <c r="G24" i="1" s="1"/>
  <c r="J24" i="1" s="1"/>
  <c r="H20" i="1"/>
  <c r="F14" i="1"/>
  <c r="C17" i="1"/>
  <c r="Q22" i="1"/>
  <c r="E21" i="1"/>
  <c r="F21" i="1" s="1"/>
  <c r="G21" i="1" s="1"/>
  <c r="H21" i="1" s="1"/>
  <c r="C11" i="1"/>
  <c r="C12" i="1"/>
  <c r="O23" i="1" l="1"/>
  <c r="O22" i="1"/>
  <c r="O24" i="1"/>
  <c r="O21" i="1"/>
  <c r="C15" i="1"/>
  <c r="C16" i="1"/>
  <c r="D18" i="1" s="1"/>
  <c r="F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<sst xmlns="http://schemas.openxmlformats.org/spreadsheetml/2006/main" count="56" uniqueCount="52">
  <si>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</si>
  <si>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</si>
  <si>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</si>
  <si>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</si>
  <si>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</si>
  <si>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</si>
  <si>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</si>
  <si>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</si>
  <si>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</si>
  <si>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</si>
  <si>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</si>
  <si>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</si>
  <si>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</si>
  <si>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</si>
  <si>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</si>
  <si>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</si>
  <si>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</si>
  <si>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</si>
  <si>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</si>
  <si>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</si>
  <si>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</si>
  <si>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</si>
  <si>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</si>
  <si>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</si>
  <si>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</si>
  <si>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</si>
  <si>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</si>
  <si>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</si>
  <si>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</si>
  <si>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</si>
  <si>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</si>
  <si>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</si>
  <si>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</si>
  <si>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</si>
  <si>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</si>
  <si>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</si>
  <si>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IR Car</t>
  </si>
  <si>
    <t>G8628-0394</t>
  </si>
  <si>
    <t>EW/KW</t>
  </si>
  <si>
    <t>IR Car / GSC 8628-0394</t>
  </si>
  <si>
    <t>Kreiner</t>
  </si>
  <si>
    <t>Pavlov 2015, pc</t>
  </si>
  <si>
    <t>I</t>
  </si>
  <si>
    <t>GCVS 4</t>
  </si>
  <si>
    <t>CCD</t>
  </si>
  <si>
    <t>CCD?</t>
  </si>
  <si>
    <t>S2</t>
  </si>
  <si>
    <t xml:space="preserve">Mag </t>
  </si>
  <si>
    <t>11.8-12.2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</si>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</sst>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5" fillId="4" borderId="6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IR Cas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-84118.5</c:v>
                </c:pt>
                <c:pt idx="1">
                  <c:v>-2862</c:v>
                </c:pt>
                <c:pt idx="2">
                  <c:v>0</c:v>
                </c:pt>
                <c:pt idx="3">
                  <c:v>10586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-5.2061950002098456E-2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FB-4C02-A135-086227BE1B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-84118.5</c:v>
                </c:pt>
                <c:pt idx="1">
                  <c:v>-2862</c:v>
                </c:pt>
                <c:pt idx="2">
                  <c:v>0</c:v>
                </c:pt>
                <c:pt idx="3">
                  <c:v>10586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FB-4C02-A135-086227BE1B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-84118.5</c:v>
                </c:pt>
                <c:pt idx="1">
                  <c:v>-2862</c:v>
                </c:pt>
                <c:pt idx="2">
                  <c:v>0</c:v>
                </c:pt>
                <c:pt idx="3">
                  <c:v>10586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-3.1114000012166798E-3</c:v>
                </c:pt>
                <c:pt idx="2">
                  <c:v>0</c:v>
                </c:pt>
                <c:pt idx="3">
                  <c:v>-1.6765800006396603E-2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FB-4C02-A135-086227BE1B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-84118.5</c:v>
                </c:pt>
                <c:pt idx="1">
                  <c:v>-2862</c:v>
                </c:pt>
                <c:pt idx="2">
                  <c:v>0</c:v>
                </c:pt>
                <c:pt idx="3">
                  <c:v>10586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FB-4C02-A135-086227BE1B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-84118.5</c:v>
                </c:pt>
                <c:pt idx="1">
                  <c:v>-2862</c:v>
                </c:pt>
                <c:pt idx="2">
                  <c:v>0</c:v>
                </c:pt>
                <c:pt idx="3">
                  <c:v>10586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FB-4C02-A135-086227BE1B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-84118.5</c:v>
                </c:pt>
                <c:pt idx="1">
                  <c:v>-2862</c:v>
                </c:pt>
                <c:pt idx="2">
                  <c:v>0</c:v>
                </c:pt>
                <c:pt idx="3">
                  <c:v>10586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FB-4C02-A135-086227BE1B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-84118.5</c:v>
                </c:pt>
                <c:pt idx="1">
                  <c:v>-2862</c:v>
                </c:pt>
                <c:pt idx="2">
                  <c:v>0</c:v>
                </c:pt>
                <c:pt idx="3">
                  <c:v>10586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FB-4C02-A135-086227BE1B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-84118.5</c:v>
                </c:pt>
                <c:pt idx="1">
                  <c:v>-2862</c:v>
                </c:pt>
                <c:pt idx="2">
                  <c:v>0</c:v>
                </c:pt>
                <c:pt idx="3">
                  <c:v>10586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-5.0135272685361811E-2</c:v>
                </c:pt>
                <c:pt idx="1">
                  <c:v>-9.9562366711112987E-3</c:v>
                </c:pt>
                <c:pt idx="2">
                  <c:v>-8.5410587952147871E-3</c:v>
                </c:pt>
                <c:pt idx="3">
                  <c:v>-3.3065818580238432E-3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FB-4C02-A135-086227BE1B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-84118.5</c:v>
                </c:pt>
                <c:pt idx="1">
                  <c:v>-2862</c:v>
                </c:pt>
                <c:pt idx="2">
                  <c:v>0</c:v>
                </c:pt>
                <c:pt idx="3">
                  <c:v>10586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FB-4C02-A135-086227BE1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727936"/>
        <c:axId val="1"/>
      </c:scatterChart>
      <c:valAx>
        <c:axId val="621727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7279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90977443609023"/>
          <c:y val="0.92397937099967764"/>
          <c:w val="0.8045112781954887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BEF23E-05C5-CAAC-6C36-CF213458E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39</v>
      </c>
      <c r="F1" s="28" t="s">
        <v>36</v>
      </c>
      <c r="G1" s="29">
        <v>0</v>
      </c>
      <c r="H1" s="30"/>
      <c r="I1" s="31" t="s">
        <v>37</v>
      </c>
      <c r="J1" s="32" t="s">
        <v>36</v>
      </c>
      <c r="K1" s="33">
        <v>11.09065</v>
      </c>
      <c r="L1" s="34">
        <v>-59.402900000000002</v>
      </c>
      <c r="M1" s="35">
        <v>52500.165000000001</v>
      </c>
      <c r="N1" s="35">
        <v>0.34606379999999998</v>
      </c>
      <c r="O1" s="31" t="s">
        <v>38</v>
      </c>
    </row>
    <row r="2" spans="1:15" ht="12.95" customHeight="1" x14ac:dyDescent="0.2">
      <c r="A2" t="s">
        <v>23</v>
      </c>
      <c r="B2" t="s">
        <v>38</v>
      </c>
      <c r="C2" s="27"/>
      <c r="D2" s="2"/>
    </row>
    <row r="3" spans="1:15" ht="12.95" customHeight="1" thickBot="1" x14ac:dyDescent="0.25"/>
    <row r="4" spans="1:15" ht="12.95" customHeight="1" thickTop="1" thickBot="1" x14ac:dyDescent="0.25">
      <c r="A4" s="4" t="s">
        <v>0</v>
      </c>
      <c r="C4" s="24">
        <v>24380.061000000002</v>
      </c>
      <c r="D4" s="25">
        <v>0.34606239999999999</v>
      </c>
    </row>
    <row r="5" spans="1:15" ht="12.95" customHeight="1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5" ht="12.95" customHeight="1" x14ac:dyDescent="0.2">
      <c r="A6" s="4" t="s">
        <v>1</v>
      </c>
    </row>
    <row r="7" spans="1:15" ht="12.95" customHeight="1" x14ac:dyDescent="0.2">
      <c r="A7" t="s">
        <v>2</v>
      </c>
      <c r="C7" s="36">
        <v>53490.607000000004</v>
      </c>
      <c r="D7" s="38" t="s">
        <v>51</v>
      </c>
    </row>
    <row r="8" spans="1:15" ht="12.95" customHeight="1" x14ac:dyDescent="0.2">
      <c r="A8" t="s">
        <v>3</v>
      </c>
      <c r="C8" s="36">
        <v>0.34606530000000002</v>
      </c>
      <c r="D8" s="26" t="s">
        <v>51</v>
      </c>
    </row>
    <row r="9" spans="1:15" ht="12.95" customHeight="1" x14ac:dyDescent="0.2">
      <c r="A9" s="21" t="s">
        <v>31</v>
      </c>
      <c r="C9" s="22">
        <v>21</v>
      </c>
      <c r="D9" s="19" t="str">
        <f>"F"&amp;C9</f>
        <v>F21</v>
      </c>
      <c r="E9" s="20" t="str">
        <f>"G"&amp;C9</f>
        <v>G21</v>
      </c>
    </row>
    <row r="10" spans="1:15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15" ht="12.95" customHeight="1" x14ac:dyDescent="0.2">
      <c r="A11" s="9" t="s">
        <v>15</v>
      </c>
      <c r="B11" s="9"/>
      <c r="C11" s="18">
        <f ca="1">INTERCEPT(INDIRECT($E$9):G992,INDIRECT($D$9):F992)</f>
        <v>-8.5410587952147871E-3</v>
      </c>
      <c r="D11" s="2"/>
      <c r="E11" s="9"/>
    </row>
    <row r="12" spans="1:15" ht="12.95" customHeight="1" x14ac:dyDescent="0.2">
      <c r="A12" s="9" t="s">
        <v>16</v>
      </c>
      <c r="B12" s="9"/>
      <c r="C12" s="18">
        <f ca="1">SLOPE(INDIRECT($E$9):G992,INDIRECT($D$9):F992)</f>
        <v>4.9447165475070314E-7</v>
      </c>
      <c r="D12" s="2"/>
      <c r="E12" s="44" t="s">
        <v>47</v>
      </c>
      <c r="F12" s="45" t="s">
        <v>48</v>
      </c>
    </row>
    <row r="13" spans="1:15" ht="12.95" customHeight="1" x14ac:dyDescent="0.2">
      <c r="A13" s="9" t="s">
        <v>18</v>
      </c>
      <c r="B13" s="9"/>
      <c r="C13" s="2" t="s">
        <v>13</v>
      </c>
      <c r="E13" s="46" t="s">
        <v>33</v>
      </c>
      <c r="F13" s="47">
        <v>1</v>
      </c>
    </row>
    <row r="14" spans="1:15" ht="12.95" customHeight="1" x14ac:dyDescent="0.2">
      <c r="A14" s="9"/>
      <c r="B14" s="9"/>
      <c r="C14" s="9"/>
      <c r="E14" s="46" t="s">
        <v>30</v>
      </c>
      <c r="F14" s="48">
        <f ca="1">NOW()+15018.5+$C$5/24</f>
        <v>60518.618660648142</v>
      </c>
    </row>
    <row r="15" spans="1:15" ht="12.95" customHeight="1" x14ac:dyDescent="0.2">
      <c r="A15" s="11" t="s">
        <v>17</v>
      </c>
      <c r="B15" s="9"/>
      <c r="C15" s="12">
        <f ca="1">(C7+C11)+(C8+C12)*INT(MAX(F21:F3533))</f>
        <v>57154.050959218148</v>
      </c>
      <c r="E15" s="46" t="s">
        <v>34</v>
      </c>
      <c r="F15" s="48">
        <f ca="1">ROUND(2*(F14-$C$7)/$C$8,0)/2+F13</f>
        <v>20309.5</v>
      </c>
    </row>
    <row r="16" spans="1:15" ht="12.95" customHeight="1" x14ac:dyDescent="0.2">
      <c r="A16" s="14" t="s">
        <v>4</v>
      </c>
      <c r="B16" s="9"/>
      <c r="C16" s="15">
        <f ca="1">+C8+C12</f>
        <v>0.34606579447165475</v>
      </c>
      <c r="E16" s="46" t="s">
        <v>35</v>
      </c>
      <c r="F16" s="49">
        <f ca="1">ROUND(2*(F14-$C$15)/$C$16,0)/2+F13</f>
        <v>9723.5</v>
      </c>
    </row>
    <row r="17" spans="1:18" ht="12.95" customHeight="1" thickBot="1" x14ac:dyDescent="0.25">
      <c r="A17" s="13" t="s">
        <v>27</v>
      </c>
      <c r="B17" s="9"/>
      <c r="C17" s="9">
        <f>COUNT(C21:C2191)</f>
        <v>4</v>
      </c>
      <c r="E17" s="46" t="s">
        <v>49</v>
      </c>
      <c r="F17" s="50">
        <f ca="1">+$C$15+$C$16*$F$16-15018.5-$C$5/24</f>
        <v>45500.917545096621</v>
      </c>
    </row>
    <row r="18" spans="1:18" ht="12.95" customHeight="1" thickTop="1" thickBot="1" x14ac:dyDescent="0.25">
      <c r="A18" s="14" t="s">
        <v>5</v>
      </c>
      <c r="B18" s="9"/>
      <c r="C18" s="16">
        <f ca="1">+C15</f>
        <v>57154.050959218148</v>
      </c>
      <c r="D18" s="17">
        <f ca="1">+C16</f>
        <v>0.34606579447165475</v>
      </c>
      <c r="E18" s="52" t="s">
        <v>50</v>
      </c>
      <c r="F18" s="51">
        <f ca="1">+($C$15+$C$16*$F$16)-($C$16/2)-15018.5-$C$5/24</f>
        <v>45500.744512199388</v>
      </c>
    </row>
    <row r="19" spans="1:18" ht="12.95" customHeight="1" thickTop="1" x14ac:dyDescent="0.2"/>
    <row r="20" spans="1:18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GCVS 4</v>
      </c>
      <c r="I20" s="6" t="s">
        <v>46</v>
      </c>
      <c r="J20" s="6" t="s">
        <v>45</v>
      </c>
      <c r="K20" s="6" t="s">
        <v>44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R20" s="23" t="s">
        <v>32</v>
      </c>
    </row>
    <row r="21" spans="1:18" s="37" customFormat="1" ht="12.95" customHeight="1" x14ac:dyDescent="0.2">
      <c r="A21" s="37" t="s">
        <v>43</v>
      </c>
      <c r="C21" s="39">
        <v>24380.061000000002</v>
      </c>
      <c r="D21" s="39"/>
      <c r="E21" s="37">
        <f>+(C21-C$7)/C$8</f>
        <v>-84118.650439671357</v>
      </c>
      <c r="F21" s="37">
        <f>ROUND(2*E21,0)/2</f>
        <v>-84118.5</v>
      </c>
      <c r="G21" s="37">
        <f>+C21-(C$7+F21*C$8)</f>
        <v>-5.2061950002098456E-2</v>
      </c>
      <c r="H21" s="37">
        <f>+G21</f>
        <v>-5.2061950002098456E-2</v>
      </c>
      <c r="O21" s="37">
        <f ca="1">+C$11+C$12*$F21</f>
        <v>-5.0135272685361811E-2</v>
      </c>
      <c r="Q21" s="40">
        <f>+C21-15018.5</f>
        <v>9361.5610000000015</v>
      </c>
    </row>
    <row r="22" spans="1:18" s="37" customFormat="1" ht="12.95" customHeight="1" x14ac:dyDescent="0.2">
      <c r="A22" s="37" t="s">
        <v>40</v>
      </c>
      <c r="C22" s="39">
        <v>52500.165000000001</v>
      </c>
      <c r="D22" s="39" t="s">
        <v>13</v>
      </c>
      <c r="E22" s="37">
        <f>+(C22-C$7)/C$8</f>
        <v>-2862.0089907887404</v>
      </c>
      <c r="F22" s="37">
        <f>ROUND(2*E22,0)/2</f>
        <v>-2862</v>
      </c>
      <c r="G22" s="37">
        <f>+C22-(C$7+F22*C$8)</f>
        <v>-3.1114000012166798E-3</v>
      </c>
      <c r="J22" s="37">
        <f>+G22</f>
        <v>-3.1114000012166798E-3</v>
      </c>
      <c r="O22" s="37">
        <f ca="1">+C$11+C$12*$F22</f>
        <v>-9.9562366711112987E-3</v>
      </c>
      <c r="Q22" s="40">
        <f>+C22-15018.5</f>
        <v>37481.665000000001</v>
      </c>
    </row>
    <row r="23" spans="1:18" s="37" customFormat="1" ht="12.95" customHeight="1" x14ac:dyDescent="0.2">
      <c r="A23" s="37" t="str">
        <f>+$D$7</f>
        <v>VSX</v>
      </c>
      <c r="C23" s="39">
        <f>$C$7</f>
        <v>53490.607000000004</v>
      </c>
      <c r="D23" s="39"/>
      <c r="E23" s="37">
        <f>+(C23-C$7)/C$8</f>
        <v>0</v>
      </c>
      <c r="F23" s="37">
        <f>ROUND(2*E23,0)/2</f>
        <v>0</v>
      </c>
      <c r="G23" s="37">
        <f>+C23-(C$7+F23*C$8)</f>
        <v>0</v>
      </c>
      <c r="J23" s="37">
        <f>+G23</f>
        <v>0</v>
      </c>
      <c r="O23" s="37">
        <f ca="1">+C$11+C$12*$F23</f>
        <v>-8.5410587952147871E-3</v>
      </c>
      <c r="Q23" s="40">
        <f>+C23-15018.5</f>
        <v>38472.107000000004</v>
      </c>
    </row>
    <row r="24" spans="1:18" s="37" customFormat="1" ht="12.95" customHeight="1" x14ac:dyDescent="0.2">
      <c r="A24" s="41" t="s">
        <v>41</v>
      </c>
      <c r="B24" s="43" t="s">
        <v>42</v>
      </c>
      <c r="C24" s="39">
        <v>57154.037499999999</v>
      </c>
      <c r="D24" s="42">
        <v>2.9999999999999997E-4</v>
      </c>
      <c r="E24" s="37">
        <f>+(C24-C$7)/C$8</f>
        <v>10585.951553073928</v>
      </c>
      <c r="F24" s="37">
        <f>ROUND(2*E24,0)/2</f>
        <v>10586</v>
      </c>
      <c r="G24" s="37">
        <f>+C24-(C$7+F24*C$8)</f>
        <v>-1.6765800006396603E-2</v>
      </c>
      <c r="J24" s="37">
        <f>+G24</f>
        <v>-1.6765800006396603E-2</v>
      </c>
      <c r="O24" s="37">
        <f ca="1">+C$11+C$12*$F24</f>
        <v>-3.3065818580238432E-3</v>
      </c>
      <c r="Q24" s="40">
        <f>+C24-15018.5</f>
        <v>42135.537499999999</v>
      </c>
    </row>
    <row r="25" spans="1:18" s="37" customFormat="1" ht="12.95" customHeight="1" x14ac:dyDescent="0.2">
      <c r="C25" s="39"/>
      <c r="D25" s="39"/>
      <c r="Q25" s="40"/>
    </row>
    <row r="26" spans="1:18" s="37" customFormat="1" ht="12.95" customHeight="1" x14ac:dyDescent="0.2">
      <c r="C26" s="39"/>
      <c r="D26" s="39"/>
      <c r="Q26" s="40"/>
    </row>
    <row r="27" spans="1:18" s="37" customFormat="1" ht="12.95" customHeight="1" x14ac:dyDescent="0.2">
      <c r="C27" s="39"/>
      <c r="D27" s="39"/>
      <c r="Q27" s="40"/>
    </row>
    <row r="28" spans="1:18" s="37" customFormat="1" ht="12.95" customHeight="1" x14ac:dyDescent="0.2">
      <c r="C28" s="39"/>
      <c r="D28" s="39"/>
      <c r="Q28" s="40"/>
    </row>
    <row r="29" spans="1:18" s="37" customFormat="1" ht="12.95" customHeight="1" x14ac:dyDescent="0.2">
      <c r="C29" s="39"/>
      <c r="D29" s="39"/>
      <c r="Q29" s="40"/>
    </row>
    <row r="30" spans="1:18" s="37" customFormat="1" ht="12.95" customHeight="1" x14ac:dyDescent="0.2">
      <c r="C30" s="39"/>
      <c r="D30" s="39"/>
      <c r="Q30" s="40"/>
    </row>
    <row r="31" spans="1:18" s="37" customFormat="1" ht="12.95" customHeight="1" x14ac:dyDescent="0.2">
      <c r="C31" s="39"/>
      <c r="D31" s="39"/>
      <c r="Q31" s="40"/>
    </row>
    <row r="32" spans="1:18" s="37" customFormat="1" ht="12.95" customHeight="1" x14ac:dyDescent="0.2">
      <c r="C32" s="39"/>
      <c r="D32" s="39"/>
      <c r="Q32" s="40"/>
    </row>
    <row r="33" spans="3:17" s="37" customFormat="1" ht="12.95" customHeight="1" x14ac:dyDescent="0.2">
      <c r="C33" s="39"/>
      <c r="D33" s="39"/>
      <c r="Q33" s="40"/>
    </row>
    <row r="34" spans="3:17" s="37" customFormat="1" ht="12.95" customHeight="1" x14ac:dyDescent="0.2">
      <c r="C34" s="39"/>
      <c r="D34" s="39"/>
    </row>
    <row r="35" spans="3:17" s="37" customFormat="1" ht="12.95" customHeight="1" x14ac:dyDescent="0.2">
      <c r="C35" s="39"/>
      <c r="D35" s="39"/>
    </row>
    <row r="36" spans="3:17" s="37" customFormat="1" ht="12.95" customHeight="1" x14ac:dyDescent="0.2">
      <c r="C36" s="39"/>
      <c r="D36" s="39"/>
    </row>
    <row r="37" spans="3:17" s="37" customFormat="1" ht="12.95" customHeight="1" x14ac:dyDescent="0.2">
      <c r="C37" s="39"/>
      <c r="D37" s="39"/>
    </row>
    <row r="38" spans="3:17" s="37" customFormat="1" x14ac:dyDescent="0.2">
      <c r="C38" s="39"/>
      <c r="D38" s="39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R25">
    <sortCondition ref="C21:C2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2024-07-27T02:50:52Z</dcterms:modified>
</cp:coreProperties>
</file>