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D87AF4C-226B-4F5C-B74F-3F2D4779F0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C24" i="1"/>
  <c r="C17" i="1" s="1"/>
  <c r="A24" i="1"/>
  <c r="F14" i="1"/>
  <c r="F15" i="1" s="1"/>
  <c r="Q23" i="1"/>
  <c r="F11" i="1"/>
  <c r="Q22" i="1"/>
  <c r="E23" i="1"/>
  <c r="F23" i="1" s="1"/>
  <c r="G23" i="1" s="1"/>
  <c r="I23" i="1" s="1"/>
  <c r="G11" i="1"/>
  <c r="Q21" i="1"/>
  <c r="E21" i="1"/>
  <c r="F21" i="1" s="1"/>
  <c r="G21" i="1" s="1"/>
  <c r="H21" i="1" s="1"/>
  <c r="E22" i="1"/>
  <c r="F22" i="1" s="1"/>
  <c r="G22" i="1" s="1"/>
  <c r="I22" i="1" s="1"/>
  <c r="E24" i="1" l="1"/>
  <c r="F24" i="1" s="1"/>
  <c r="G24" i="1" s="1"/>
  <c r="C11" i="1"/>
  <c r="C12" i="1"/>
  <c r="J24" i="1" l="1"/>
  <c r="O24" i="1"/>
  <c r="C16" i="1"/>
  <c r="D18" i="1" s="1"/>
  <c r="C15" i="1"/>
  <c r="O21" i="1"/>
  <c r="O23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<sst xmlns="http://schemas.openxmlformats.org/spreadsheetml/2006/main" count="53" uniqueCount="49">
  <si>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</si>
  <si>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</si>
  <si>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</si>
  <si>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</si>
  <si>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</si>
  <si>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</si>
  <si>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</si>
  <si>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</si>
  <si>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</si>
  <si>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</si>
  <si>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</si>
  <si>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</si>
  <si>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</si>
  <si>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</si>
  <si>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</si>
  <si>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</si>
  <si>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</si>
  <si>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</si>
  <si>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</si>
  <si>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</si>
  <si>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</si>
  <si>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</si>
  <si>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</si>
  <si>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</si>
  <si>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</si>
  <si>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</si>
  <si>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</si>
  <si>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</si>
  <si>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</si>
  <si>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</si>
  <si>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</si>
  <si>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</si>
  <si>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</si>
  <si>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</si>
  <si>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</si>
  <si>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</si>
  <si>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</si>
  <si>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SW Car / GSC 8613-1596               </t>
  </si>
  <si>
    <t xml:space="preserve">EA/DS     </t>
  </si>
  <si>
    <t>IBVS 5809</t>
  </si>
  <si>
    <t>IBVS 5931</t>
  </si>
  <si>
    <t>CCD</t>
  </si>
  <si>
    <t xml:space="preserve">Mag </t>
  </si>
  <si>
    <t>Add cycle</t>
  </si>
  <si>
    <t>Old Cycle</t>
  </si>
  <si>
    <t>Next ToM-P</t>
  </si>
  <si>
    <t>Next ToM-S</t>
  </si>
  <si>
    <t>10.53-12.60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</si>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</sst>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/>
    <xf numFmtId="14" fontId="6" fillId="0" borderId="0" xfId="0" applyNumberFormat="1" applyFont="1" applyAlignment="1"/>
    <xf numFmtId="0" fontId="1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0" fillId="2" borderId="6" xfId="0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/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Car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-105</c:v>
                </c:pt>
                <c:pt idx="1">
                  <c:v>-66</c:v>
                </c:pt>
                <c:pt idx="2">
                  <c:v>-25</c:v>
                </c:pt>
                <c:pt idx="3">
                  <c:v>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-4.275249999773223E-2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D9-4719-9A7D-826B9AACEF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-105</c:v>
                </c:pt>
                <c:pt idx="1">
                  <c:v>-66</c:v>
                </c:pt>
                <c:pt idx="2">
                  <c:v>-25</c:v>
                </c:pt>
                <c:pt idx="3">
                  <c:v>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-3.207299999485258E-2</c:v>
                </c:pt>
                <c:pt idx="2">
                  <c:v>-5.0412500000675209E-2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D9-4719-9A7D-826B9AACEF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-105</c:v>
                </c:pt>
                <c:pt idx="1">
                  <c:v>-66</c:v>
                </c:pt>
                <c:pt idx="2">
                  <c:v>-25</c:v>
                </c:pt>
                <c:pt idx="3">
                  <c:v>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D9-4719-9A7D-826B9AACEF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-105</c:v>
                </c:pt>
                <c:pt idx="1">
                  <c:v>-66</c:v>
                </c:pt>
                <c:pt idx="2">
                  <c:v>-25</c:v>
                </c:pt>
                <c:pt idx="3">
                  <c:v>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D9-4719-9A7D-826B9AACEF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-105</c:v>
                </c:pt>
                <c:pt idx="1">
                  <c:v>-66</c:v>
                </c:pt>
                <c:pt idx="2">
                  <c:v>-25</c:v>
                </c:pt>
                <c:pt idx="3">
                  <c:v>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D9-4719-9A7D-826B9AACEF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-105</c:v>
                </c:pt>
                <c:pt idx="1">
                  <c:v>-66</c:v>
                </c:pt>
                <c:pt idx="2">
                  <c:v>-25</c:v>
                </c:pt>
                <c:pt idx="3">
                  <c:v>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D9-4719-9A7D-826B9AACEF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-105</c:v>
                </c:pt>
                <c:pt idx="1">
                  <c:v>-66</c:v>
                </c:pt>
                <c:pt idx="2">
                  <c:v>-25</c:v>
                </c:pt>
                <c:pt idx="3">
                  <c:v>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D9-4719-9A7D-826B9AACEF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-105</c:v>
                </c:pt>
                <c:pt idx="1">
                  <c:v>-66</c:v>
                </c:pt>
                <c:pt idx="2">
                  <c:v>-25</c:v>
                </c:pt>
                <c:pt idx="3">
                  <c:v>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-4.6437731174053906E-2</c:v>
                </c:pt>
                <c:pt idx="1">
                  <c:v>-3.5901998748092884E-2</c:v>
                </c:pt>
                <c:pt idx="2">
                  <c:v>-2.4825972351569761E-2</c:v>
                </c:pt>
                <c:pt idx="3">
                  <c:v>-1.8072297719543468E-2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D9-4719-9A7D-826B9AACE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61816"/>
        <c:axId val="1"/>
      </c:scatterChart>
      <c:valAx>
        <c:axId val="93861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61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19051</xdr:rowOff>
    </xdr:from>
    <xdr:to>
      <xdr:col>17</xdr:col>
      <xdr:colOff>219075</xdr:colOff>
      <xdr:row>18</xdr:row>
      <xdr:rowOff>161926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108C37-56C3-A498-1F7D-C420A1C62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</row>
    <row r="2" spans="1:7">
      <c r="A2" t="s">
        <v>22</v>
      </c>
      <c r="B2" s="28" t="s">
        <v>38</v>
      </c>
      <c r="C2" s="2"/>
      <c r="D2" s="2"/>
    </row>
    <row r="3" spans="1:7" ht="13.5" thickBot="1"/>
    <row r="4" spans="1:7" ht="14.25" thickTop="1" thickBot="1">
      <c r="A4" s="4" t="s">
        <v>36</v>
      </c>
      <c r="C4" s="7">
        <v>52506.35</v>
      </c>
      <c r="D4" s="8">
        <v>8.1659500000000005</v>
      </c>
    </row>
    <row r="5" spans="1:7">
      <c r="C5" s="25" t="s">
        <v>34</v>
      </c>
    </row>
    <row r="6" spans="1:7">
      <c r="A6" s="4" t="s">
        <v>0</v>
      </c>
    </row>
    <row r="7" spans="1:7">
      <c r="A7" t="s">
        <v>1</v>
      </c>
      <c r="C7">
        <v>53363.828999999998</v>
      </c>
      <c r="D7" s="32" t="s">
        <v>48</v>
      </c>
    </row>
    <row r="8" spans="1:7">
      <c r="A8" t="s">
        <v>2</v>
      </c>
      <c r="C8">
        <v>8.1660594999999994</v>
      </c>
      <c r="D8" s="32" t="s">
        <v>48</v>
      </c>
    </row>
    <row r="9" spans="1:7">
      <c r="A9" s="10" t="s">
        <v>28</v>
      </c>
      <c r="B9" s="11"/>
      <c r="C9" s="12">
        <v>-9.5</v>
      </c>
      <c r="D9" s="11" t="s">
        <v>29</v>
      </c>
      <c r="E9" s="11"/>
    </row>
    <row r="10" spans="1:7" ht="13.5" thickBot="1">
      <c r="A10" s="11"/>
      <c r="B10" s="11"/>
      <c r="C10" s="3" t="s">
        <v>18</v>
      </c>
      <c r="D10" s="3" t="s">
        <v>19</v>
      </c>
      <c r="E10" s="11"/>
    </row>
    <row r="11" spans="1:7">
      <c r="A11" s="11" t="s">
        <v>14</v>
      </c>
      <c r="B11" s="11"/>
      <c r="C11" s="20">
        <f ca="1">INTERCEPT(INDIRECT($G$11):G975,INDIRECT($F$11):F975)</f>
        <v>-1.8072297719543468E-2</v>
      </c>
      <c r="D11" s="2"/>
      <c r="E11" s="11"/>
      <c r="F11" s="21" t="str">
        <f>"F"&amp;E19</f>
        <v>F21</v>
      </c>
      <c r="G11" s="22" t="str">
        <f>"G"&amp;E19</f>
        <v>G21</v>
      </c>
    </row>
    <row r="12" spans="1:7">
      <c r="A12" s="11" t="s">
        <v>15</v>
      </c>
      <c r="B12" s="11"/>
      <c r="C12" s="20">
        <f ca="1">SLOPE(INDIRECT($G$11):G975,INDIRECT($F$11):F975)</f>
        <v>2.7014698528105181E-4</v>
      </c>
      <c r="D12" s="2"/>
      <c r="E12" s="36" t="s">
        <v>42</v>
      </c>
      <c r="F12" s="37" t="s">
        <v>47</v>
      </c>
    </row>
    <row r="13" spans="1:7">
      <c r="A13" s="11" t="s">
        <v>17</v>
      </c>
      <c r="B13" s="11"/>
      <c r="C13" s="2" t="s">
        <v>12</v>
      </c>
      <c r="D13" s="2"/>
      <c r="E13" s="38" t="s">
        <v>43</v>
      </c>
      <c r="F13" s="39">
        <v>1</v>
      </c>
    </row>
    <row r="14" spans="1:7">
      <c r="A14" s="11"/>
      <c r="B14" s="11"/>
      <c r="C14" s="11"/>
      <c r="D14" s="11"/>
      <c r="E14" s="38" t="s">
        <v>30</v>
      </c>
      <c r="F14" s="40">
        <f ca="1">NOW()+15018.5+$C$9/24</f>
        <v>60518.62083368055</v>
      </c>
    </row>
    <row r="15" spans="1:7">
      <c r="A15" s="13" t="s">
        <v>16</v>
      </c>
      <c r="B15" s="11"/>
      <c r="C15" s="14">
        <f ca="1">(C7+C11)+(C8+C12)*INT(MAX(F21:F3516))</f>
        <v>53363.810927702281</v>
      </c>
      <c r="D15" s="15"/>
      <c r="E15" s="38" t="s">
        <v>44</v>
      </c>
      <c r="F15" s="40">
        <f ca="1">ROUND(2*($F$14-$C$7)/$C$8,0)/2+$F$13</f>
        <v>877</v>
      </c>
    </row>
    <row r="16" spans="1:7">
      <c r="A16" s="16" t="s">
        <v>3</v>
      </c>
      <c r="B16" s="11"/>
      <c r="C16" s="17">
        <f ca="1">+C8+C12</f>
        <v>8.1663296469852806</v>
      </c>
      <c r="D16" s="15"/>
      <c r="E16" s="38" t="s">
        <v>31</v>
      </c>
      <c r="F16" s="40">
        <f ca="1">ROUND(2*($F$14-$C$15)/$C$16,0)/2+$F$13</f>
        <v>877</v>
      </c>
    </row>
    <row r="17" spans="1:17" ht="13.5" thickBot="1">
      <c r="A17" s="15" t="s">
        <v>27</v>
      </c>
      <c r="B17" s="11"/>
      <c r="C17" s="11">
        <f>COUNT(C21:C2174)</f>
        <v>4</v>
      </c>
      <c r="D17" s="15"/>
      <c r="E17" s="41" t="s">
        <v>45</v>
      </c>
      <c r="F17" s="42">
        <f ca="1">+$C$15+$C$16*$F$16-15018.5-$C$9/24</f>
        <v>45507.577861441707</v>
      </c>
    </row>
    <row r="18" spans="1:17" ht="14.25" thickTop="1" thickBot="1">
      <c r="A18" s="16" t="s">
        <v>4</v>
      </c>
      <c r="B18" s="11"/>
      <c r="C18" s="18">
        <f ca="1">+C15</f>
        <v>53363.810927702281</v>
      </c>
      <c r="D18" s="19">
        <f ca="1">+C16</f>
        <v>8.1663296469852806</v>
      </c>
      <c r="E18" s="44" t="s">
        <v>46</v>
      </c>
      <c r="F18" s="43">
        <f ca="1">+($C$15+$C$16*$F$16)-($C$16/2)-15018.5-$C$9/24</f>
        <v>45503.494696618211</v>
      </c>
    </row>
    <row r="19" spans="1:17" ht="13.5" thickTop="1">
      <c r="A19" s="23" t="s">
        <v>32</v>
      </c>
      <c r="E19" s="24">
        <v>21</v>
      </c>
    </row>
    <row r="20" spans="1:17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35</v>
      </c>
      <c r="I20" s="6" t="s">
        <v>26</v>
      </c>
      <c r="J20" s="6" t="s">
        <v>48</v>
      </c>
      <c r="K20" s="6" t="s">
        <v>41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 s="32" customFormat="1">
      <c r="A21" s="27" t="s">
        <v>35</v>
      </c>
      <c r="B21" s="26" t="s">
        <v>33</v>
      </c>
      <c r="C21" s="27">
        <v>52506.35</v>
      </c>
      <c r="D21" s="29"/>
      <c r="E21" s="32">
        <f>+(C21-C$7)/C$8</f>
        <v>-105.0052353892351</v>
      </c>
      <c r="F21" s="32">
        <f>ROUND(2*E21,0)/2</f>
        <v>-105</v>
      </c>
      <c r="G21" s="32">
        <f>+C21-(C$7+F21*C$8)</f>
        <v>-4.275249999773223E-2</v>
      </c>
      <c r="H21" s="32">
        <f>+G21</f>
        <v>-4.275249999773223E-2</v>
      </c>
      <c r="O21" s="32">
        <f ca="1">+C$11+C$12*$F21</f>
        <v>-4.6437731174053906E-2</v>
      </c>
      <c r="Q21" s="33">
        <f>+C21-15018.5</f>
        <v>37487.85</v>
      </c>
    </row>
    <row r="22" spans="1:17" s="32" customFormat="1">
      <c r="A22" s="29" t="s">
        <v>39</v>
      </c>
      <c r="B22" s="29"/>
      <c r="C22" s="34">
        <v>52824.837</v>
      </c>
      <c r="D22" s="34">
        <v>4.0000000000000001E-3</v>
      </c>
      <c r="E22" s="32">
        <f>+(C22-C$7)/C$8</f>
        <v>-66.003927598127149</v>
      </c>
      <c r="F22" s="32">
        <f>ROUND(2*E22,0)/2</f>
        <v>-66</v>
      </c>
      <c r="G22" s="32">
        <f>+C22-(C$7+F22*C$8)</f>
        <v>-3.207299999485258E-2</v>
      </c>
      <c r="I22" s="32">
        <f>+G22</f>
        <v>-3.207299999485258E-2</v>
      </c>
      <c r="O22" s="32">
        <f ca="1">+C$11+C$12*$F22</f>
        <v>-3.5901998748092884E-2</v>
      </c>
      <c r="Q22" s="33">
        <f>+C22-15018.5</f>
        <v>37806.337</v>
      </c>
    </row>
    <row r="23" spans="1:17" s="32" customFormat="1">
      <c r="A23" s="30" t="s">
        <v>40</v>
      </c>
      <c r="B23" s="31" t="s">
        <v>33</v>
      </c>
      <c r="C23" s="30">
        <v>53159.627099999998</v>
      </c>
      <c r="D23" s="30">
        <v>2.3E-3</v>
      </c>
      <c r="E23" s="32">
        <f>+(C23-C$7)/C$8</f>
        <v>-25.006173418158419</v>
      </c>
      <c r="F23" s="32">
        <f>ROUND(2*E23,0)/2</f>
        <v>-25</v>
      </c>
      <c r="G23" s="32">
        <f>+C23-(C$7+F23*C$8)</f>
        <v>-5.0412500000675209E-2</v>
      </c>
      <c r="I23" s="32">
        <f>+G23</f>
        <v>-5.0412500000675209E-2</v>
      </c>
      <c r="O23" s="32">
        <f ca="1">+C$11+C$12*$F23</f>
        <v>-2.4825972351569761E-2</v>
      </c>
      <c r="Q23" s="33">
        <f>+C23-15018.5</f>
        <v>38141.127099999998</v>
      </c>
    </row>
    <row r="24" spans="1:17" s="32" customFormat="1">
      <c r="A24" s="32" t="str">
        <f>$D$7</f>
        <v>VSX</v>
      </c>
      <c r="C24" s="35">
        <f>$C$7</f>
        <v>53363.828999999998</v>
      </c>
      <c r="D24" s="35"/>
      <c r="E24" s="32">
        <f>+(C24-C$7)/C$8</f>
        <v>0</v>
      </c>
      <c r="F24" s="32">
        <f>ROUND(2*E24,0)/2</f>
        <v>0</v>
      </c>
      <c r="G24" s="32">
        <f>+C24-(C$7+F24*C$8)</f>
        <v>0</v>
      </c>
      <c r="J24" s="32">
        <f>+G24</f>
        <v>0</v>
      </c>
      <c r="O24" s="32">
        <f ca="1">+C$11+C$12*$F24</f>
        <v>-1.8072297719543468E-2</v>
      </c>
      <c r="Q24" s="33">
        <f>+C24-15018.5</f>
        <v>38345.328999999998</v>
      </c>
    </row>
    <row r="25" spans="1:17" s="32" customFormat="1">
      <c r="C25" s="35"/>
      <c r="D25" s="35"/>
    </row>
    <row r="26" spans="1:17" s="32" customFormat="1">
      <c r="C26" s="35"/>
      <c r="D26" s="35"/>
    </row>
    <row r="27" spans="1:17" s="32" customFormat="1">
      <c r="C27" s="35"/>
      <c r="D27" s="35"/>
    </row>
    <row r="28" spans="1:17" s="32" customFormat="1">
      <c r="C28" s="35"/>
      <c r="D28" s="35"/>
    </row>
    <row r="29" spans="1:17" s="32" customFormat="1">
      <c r="C29" s="35"/>
      <c r="D29" s="35"/>
    </row>
    <row r="30" spans="1:17" s="32" customFormat="1">
      <c r="C30" s="35"/>
      <c r="D30" s="35"/>
    </row>
    <row r="31" spans="1:17" s="32" customFormat="1">
      <c r="C31" s="35"/>
      <c r="D31" s="35"/>
    </row>
    <row r="32" spans="1:17">
      <c r="C32" s="9"/>
      <c r="D32" s="9"/>
    </row>
    <row r="33" spans="3:4">
      <c r="C33" s="9"/>
      <c r="D33" s="9"/>
    </row>
    <row r="34" spans="3:4">
      <c r="C34" s="9"/>
      <c r="D34" s="9"/>
    </row>
    <row r="35" spans="3:4">
      <c r="C35" s="9"/>
      <c r="D35" s="9"/>
    </row>
    <row r="36" spans="3:4">
      <c r="C36" s="9"/>
      <c r="D36" s="9"/>
    </row>
    <row r="37" spans="3:4">
      <c r="C37" s="9"/>
      <c r="D37" s="9"/>
    </row>
    <row r="38" spans="3:4">
      <c r="C38" s="9"/>
      <c r="D38" s="9"/>
    </row>
    <row r="39" spans="3:4">
      <c r="C39" s="9"/>
      <c r="D39" s="9"/>
    </row>
    <row r="40" spans="3:4">
      <c r="C40" s="9"/>
      <c r="D40" s="9"/>
    </row>
    <row r="41" spans="3:4">
      <c r="C41" s="9"/>
      <c r="D41" s="9"/>
    </row>
    <row r="42" spans="3:4">
      <c r="C42" s="9"/>
      <c r="D42" s="9"/>
    </row>
    <row r="43" spans="3:4">
      <c r="C43" s="9"/>
      <c r="D43" s="9"/>
    </row>
    <row r="44" spans="3:4">
      <c r="C44" s="9"/>
      <c r="D44" s="9"/>
    </row>
    <row r="45" spans="3:4">
      <c r="C45" s="9"/>
      <c r="D45" s="9"/>
    </row>
    <row r="46" spans="3:4">
      <c r="C46" s="9"/>
      <c r="D46" s="9"/>
    </row>
    <row r="47" spans="3:4">
      <c r="C47" s="9"/>
      <c r="D47" s="9"/>
    </row>
    <row r="48" spans="3:4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</sheetData>
  <sortState xmlns:xlrd2="http://schemas.microsoft.com/office/spreadsheetml/2017/richdata2" ref="A21:R25">
    <sortCondition ref="C21:C2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2024-07-27T02:54:00Z</dcterms:modified>
</cp:coreProperties>
</file>