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7F21094-69D1-429C-92CE-378AFFDF2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E9" i="1"/>
  <c r="D9" i="1"/>
  <c r="Q22" i="1"/>
  <c r="Q23" i="1"/>
  <c r="Q24" i="1"/>
  <c r="Q25" i="1"/>
  <c r="C8" i="1"/>
  <c r="C7" i="1"/>
  <c r="E23" i="1"/>
  <c r="F23" i="1"/>
  <c r="G23" i="1"/>
  <c r="H23" i="1"/>
  <c r="E21" i="1"/>
  <c r="F21" i="1"/>
  <c r="G21" i="1"/>
  <c r="H21" i="1"/>
  <c r="D8" i="1"/>
  <c r="F14" i="1"/>
  <c r="F15" i="1" s="1"/>
  <c r="C17" i="1"/>
  <c r="Q21" i="1"/>
  <c r="E22" i="1"/>
  <c r="F22" i="1"/>
  <c r="G22" i="1"/>
  <c r="E24" i="1"/>
  <c r="F24" i="1"/>
  <c r="G24" i="1"/>
  <c r="H24" i="1"/>
  <c r="G25" i="1"/>
  <c r="H25" i="1"/>
  <c r="H22" i="1"/>
  <c r="C11" i="1"/>
  <c r="C12" i="1"/>
  <c r="C16" i="1" l="1"/>
  <c r="D18" i="1" s="1"/>
  <c r="O23" i="1"/>
  <c r="C15" i="1"/>
  <c r="O24" i="1"/>
  <c r="O21" i="1"/>
  <c r="O25" i="1"/>
  <c r="O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<sst xmlns="http://schemas.openxmlformats.org/spreadsheetml/2006/main" count="64" uniqueCount="53">
  <si>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</si>
  <si>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</si>
  <si>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</si>
  <si>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</si>
  <si>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</si>
  <si>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</si>
  <si>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</si>
  <si>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</si>
  <si>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</si>
  <si>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</si>
  <si>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</si>
  <si>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</si>
  <si>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</si>
  <si>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</si>
  <si>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</si>
  <si>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</si>
  <si>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</si>
  <si>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</si>
  <si>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</si>
  <si>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</si>
  <si>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</si>
  <si>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</si>
  <si>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</si>
  <si>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</si>
  <si>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</si>
  <si>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</si>
  <si>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</si>
  <si>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</si>
  <si>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</si>
  <si>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</si>
  <si>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</si>
  <si>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</si>
  <si>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</si>
  <si>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</si>
  <si>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</si>
  <si>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</si>
  <si>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</si>
  <si>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</si>
  <si>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</si>
  <si>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</si>
  <si>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</si>
  <si>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V0573 Car</t>
  </si>
  <si>
    <t>2015L</t>
  </si>
  <si>
    <t>EA</t>
  </si>
  <si>
    <t>V0573 Car / GSC na</t>
  </si>
  <si>
    <t>VSX</t>
  </si>
  <si>
    <t>OEJV 0168</t>
  </si>
  <si>
    <t>II</t>
  </si>
  <si>
    <t>I</t>
  </si>
  <si>
    <t>Mag</t>
  </si>
  <si>
    <t>9.45-10.00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</si>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</sst>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>
      <alignment vertical="top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6" xfId="0" applyFont="1" applyBorder="1">
      <alignment vertical="top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22" fontId="9" fillId="0" borderId="10" xfId="0" applyNumberFormat="1" applyFont="1" applyBorder="1" applyAlignment="1">
      <alignment horizontal="right" vertical="center"/>
    </xf>
    <xf numFmtId="22" fontId="23" fillId="0" borderId="11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V0573 Car - O-C Diagr.</a:t>
            </a:r>
          </a:p>
        </c:rich>
      </c:tx>
      <c:layout>
        <c:manualLayout>
          <c:xMode val="edge"/>
          <c:yMode val="edge"/>
          <c:x val="0.36541353383458647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35127795846455"/>
          <c:w val="0.8436090225563910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-0.3498022000057972</c:v>
                </c:pt>
                <c:pt idx="2">
                  <c:v>4.346800000348594E-3</c:v>
                </c:pt>
                <c:pt idx="3">
                  <c:v>4.5467999952961691E-3</c:v>
                </c:pt>
                <c:pt idx="4">
                  <c:v>6.1768000014126301E-3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7F-4B40-9A4D-80581EBF81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7F-4B40-9A4D-80581EBF81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7F-4B40-9A4D-80581EBF81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7F-4B40-9A4D-80581EBF81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7F-4B40-9A4D-80581EBF81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7F-4B40-9A4D-80581EBF81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7F-4B40-9A4D-80581EBF81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29.249416984522963</c:v>
                </c:pt>
                <c:pt idx="1">
                  <c:v>-0.3498022000057972</c:v>
                </c:pt>
                <c:pt idx="2">
                  <c:v>5.023466665686982E-3</c:v>
                </c:pt>
                <c:pt idx="3">
                  <c:v>5.023466665686982E-3</c:v>
                </c:pt>
                <c:pt idx="4">
                  <c:v>5.023466665686982E-3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7F-4B40-9A4D-80581EBF814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4379.5</c:v>
                </c:pt>
                <c:pt idx="2">
                  <c:v>4327</c:v>
                </c:pt>
                <c:pt idx="3">
                  <c:v>4327</c:v>
                </c:pt>
                <c:pt idx="4">
                  <c:v>4327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7F-4B40-9A4D-80581EBF8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2656"/>
        <c:axId val="1"/>
      </c:scatterChart>
      <c:valAx>
        <c:axId val="39599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2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07B336-1B50-D27A-3721-15BF01E8E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29" t="s">
        <v>41</v>
      </c>
      <c r="G1" s="30" t="s">
        <v>42</v>
      </c>
      <c r="H1" s="31"/>
      <c r="I1" s="32" t="s">
        <v>13</v>
      </c>
      <c r="J1" s="33" t="s">
        <v>41</v>
      </c>
      <c r="K1" s="34">
        <v>10.45082</v>
      </c>
      <c r="L1" s="33">
        <v>-59.404899999999998</v>
      </c>
      <c r="M1" s="35">
        <v>50456.816400000003</v>
      </c>
      <c r="N1" s="35">
        <v>1.4693316000000001</v>
      </c>
      <c r="O1" s="36" t="s">
        <v>43</v>
      </c>
    </row>
    <row r="2" spans="1:15">
      <c r="A2" t="s">
        <v>23</v>
      </c>
      <c r="B2" t="s">
        <v>43</v>
      </c>
      <c r="C2" s="28"/>
      <c r="D2" s="3"/>
    </row>
    <row r="3" spans="1:15" ht="13.5" thickBot="1"/>
    <row r="4" spans="1:15" ht="14.25" thickTop="1" thickBot="1">
      <c r="A4" s="5" t="s">
        <v>0</v>
      </c>
      <c r="C4" s="25" t="s">
        <v>36</v>
      </c>
      <c r="D4" s="26" t="s">
        <v>36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0">
        <f>M1</f>
        <v>50456.816400000003</v>
      </c>
      <c r="D7" s="27" t="s">
        <v>45</v>
      </c>
    </row>
    <row r="8" spans="1:15">
      <c r="A8" t="s">
        <v>3</v>
      </c>
      <c r="C8" s="40">
        <f>N1</f>
        <v>1.4693316000000001</v>
      </c>
      <c r="D8" s="27" t="str">
        <f>D7</f>
        <v>VSX</v>
      </c>
    </row>
    <row r="9" spans="1:15">
      <c r="A9" s="22" t="s">
        <v>31</v>
      </c>
      <c r="C9" s="23">
        <v>22</v>
      </c>
      <c r="D9" s="20" t="str">
        <f>"F"&amp;C9</f>
        <v>F22</v>
      </c>
      <c r="E9" s="21" t="str">
        <f>"G"&amp;C9</f>
        <v>G22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19">
        <f ca="1">INTERCEPT(INDIRECT($E$9):G992,INDIRECT($D$9):F992)</f>
        <v>29.249416984522963</v>
      </c>
      <c r="D11" s="3"/>
      <c r="E11" s="10"/>
    </row>
    <row r="12" spans="1:15">
      <c r="A12" s="10" t="s">
        <v>16</v>
      </c>
      <c r="B12" s="10"/>
      <c r="C12" s="19">
        <f ca="1">SLOPE(INDIRECT($E$9):G992,INDIRECT($D$9):F992)</f>
        <v>-6.758584127075867E-3</v>
      </c>
      <c r="D12" s="3"/>
      <c r="E12" s="41" t="s">
        <v>49</v>
      </c>
      <c r="F12" s="42" t="s">
        <v>50</v>
      </c>
    </row>
    <row r="13" spans="1:15">
      <c r="A13" s="10" t="s">
        <v>18</v>
      </c>
      <c r="B13" s="10"/>
      <c r="C13" s="3" t="s">
        <v>13</v>
      </c>
      <c r="E13" s="43" t="s">
        <v>33</v>
      </c>
      <c r="F13" s="44">
        <v>1</v>
      </c>
    </row>
    <row r="14" spans="1:15">
      <c r="A14" s="10"/>
      <c r="B14" s="10"/>
      <c r="C14" s="10"/>
      <c r="E14" s="43" t="s">
        <v>30</v>
      </c>
      <c r="F14" s="45">
        <f ca="1">NOW()+15018.5+$C$5/24</f>
        <v>60518.623860069441</v>
      </c>
    </row>
    <row r="15" spans="1:15">
      <c r="A15" s="12" t="s">
        <v>17</v>
      </c>
      <c r="B15" s="10"/>
      <c r="C15" s="13">
        <f ca="1">(C7+C11)+(C8+C12)*INT(MAX(F21:F3533))</f>
        <v>56890.673053492064</v>
      </c>
      <c r="E15" s="43" t="s">
        <v>34</v>
      </c>
      <c r="F15" s="45">
        <f ca="1">ROUND(2*(F14-$C$7)/$C$8,0)/2+F13</f>
        <v>6849</v>
      </c>
    </row>
    <row r="16" spans="1:15">
      <c r="A16" s="15" t="s">
        <v>4</v>
      </c>
      <c r="B16" s="10"/>
      <c r="C16" s="16">
        <f ca="1">+C8+C12</f>
        <v>1.4625730158729242</v>
      </c>
      <c r="E16" s="43" t="s">
        <v>35</v>
      </c>
      <c r="F16" s="46">
        <f ca="1">ROUND(2*(F14-$C$15)/$C$16,0)/2+F13</f>
        <v>2481.5</v>
      </c>
    </row>
    <row r="17" spans="1:18" ht="13.5" thickBot="1">
      <c r="A17" s="14" t="s">
        <v>27</v>
      </c>
      <c r="B17" s="10"/>
      <c r="C17" s="10">
        <f>COUNT(C21:C2191)</f>
        <v>5</v>
      </c>
      <c r="E17" s="43" t="s">
        <v>51</v>
      </c>
      <c r="F17" s="47">
        <f ca="1">+$C$15+$C$16*$F$16-15018.5-$C$5/24</f>
        <v>45501.943825714065</v>
      </c>
    </row>
    <row r="18" spans="1:18" ht="14.25" thickTop="1" thickBot="1">
      <c r="A18" s="15" t="s">
        <v>5</v>
      </c>
      <c r="B18" s="10"/>
      <c r="C18" s="17">
        <f ca="1">+C15</f>
        <v>56890.673053492064</v>
      </c>
      <c r="D18" s="18">
        <f ca="1">+C16</f>
        <v>1.4625730158729242</v>
      </c>
      <c r="E18" s="49" t="s">
        <v>52</v>
      </c>
      <c r="F18" s="48">
        <f ca="1">+($C$15+$C$16*$F$16)-($C$16/2)-15018.5-$C$5/24</f>
        <v>45501.212539206128</v>
      </c>
    </row>
    <row r="19" spans="1:18" ht="13.5" thickTop="1"/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8">
      <c r="A21" t="s">
        <v>45</v>
      </c>
      <c r="C21" s="8">
        <v>50456.816400000003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29.249416984522963</v>
      </c>
      <c r="Q21" s="2">
        <f>+C21-15018.5</f>
        <v>35438.316400000003</v>
      </c>
    </row>
    <row r="22" spans="1:18">
      <c r="A22" s="37" t="s">
        <v>46</v>
      </c>
      <c r="B22" s="38" t="s">
        <v>47</v>
      </c>
      <c r="C22" s="39">
        <v>56891.404340000001</v>
      </c>
      <c r="D22" s="37">
        <v>2.9999999999999997E-4</v>
      </c>
      <c r="E22">
        <f>+(C22-C$7)/C$8</f>
        <v>4379.2619310712416</v>
      </c>
      <c r="F22">
        <f>ROUND(2*E22,0)/2</f>
        <v>4379.5</v>
      </c>
      <c r="G22">
        <f>+C22-(C$7+F22*C$8)</f>
        <v>-0.3498022000057972</v>
      </c>
      <c r="H22">
        <f>+G22</f>
        <v>-0.3498022000057972</v>
      </c>
      <c r="O22">
        <f ca="1">+C$11+C$12*$F22</f>
        <v>-0.3498022000057972</v>
      </c>
      <c r="Q22" s="2">
        <f>+C22-15018.5</f>
        <v>41872.904340000001</v>
      </c>
    </row>
    <row r="23" spans="1:18">
      <c r="A23" s="37" t="s">
        <v>46</v>
      </c>
      <c r="B23" s="38" t="s">
        <v>48</v>
      </c>
      <c r="C23" s="39">
        <v>56814.618580000002</v>
      </c>
      <c r="D23" s="37">
        <v>5.0000000000000001E-4</v>
      </c>
      <c r="E23">
        <f>+(C23-C$7)/C$8</f>
        <v>4327.0029583519463</v>
      </c>
      <c r="F23">
        <f>ROUND(2*E23,0)/2</f>
        <v>4327</v>
      </c>
      <c r="G23">
        <f>+C23-(C$7+F23*C$8)</f>
        <v>4.346800000348594E-3</v>
      </c>
      <c r="H23">
        <f>+G23</f>
        <v>4.346800000348594E-3</v>
      </c>
      <c r="O23">
        <f ca="1">+C$11+C$12*$F23</f>
        <v>5.023466665686982E-3</v>
      </c>
      <c r="Q23" s="2">
        <f>+C23-15018.5</f>
        <v>41796.118580000002</v>
      </c>
    </row>
    <row r="24" spans="1:18">
      <c r="A24" s="37" t="s">
        <v>46</v>
      </c>
      <c r="B24" s="38" t="s">
        <v>48</v>
      </c>
      <c r="C24" s="39">
        <v>56814.618779999997</v>
      </c>
      <c r="D24" s="37">
        <v>8.0000000000000004E-4</v>
      </c>
      <c r="E24">
        <f>+(C24-C$7)/C$8</f>
        <v>4327.0030944682558</v>
      </c>
      <c r="F24">
        <f>ROUND(2*E24,0)/2</f>
        <v>4327</v>
      </c>
      <c r="G24">
        <f>+C24-(C$7+F24*C$8)</f>
        <v>4.5467999952961691E-3</v>
      </c>
      <c r="H24">
        <f>+G24</f>
        <v>4.5467999952961691E-3</v>
      </c>
      <c r="O24">
        <f ca="1">+C$11+C$12*$F24</f>
        <v>5.023466665686982E-3</v>
      </c>
      <c r="Q24" s="2">
        <f>+C24-15018.5</f>
        <v>41796.118779999997</v>
      </c>
    </row>
    <row r="25" spans="1:18">
      <c r="A25" s="37" t="s">
        <v>46</v>
      </c>
      <c r="B25" s="38" t="s">
        <v>48</v>
      </c>
      <c r="C25" s="39">
        <v>56814.620410000003</v>
      </c>
      <c r="D25" s="37">
        <v>5.9999999999999995E-4</v>
      </c>
      <c r="E25">
        <f>+(C25-C$7)/C$8</f>
        <v>4327.004203816211</v>
      </c>
      <c r="F25">
        <f>ROUND(2*E25,0)/2</f>
        <v>4327</v>
      </c>
      <c r="G25">
        <f>+C25-(C$7+F25*C$8)</f>
        <v>6.1768000014126301E-3</v>
      </c>
      <c r="H25">
        <f>+G25</f>
        <v>6.1768000014126301E-3</v>
      </c>
      <c r="O25">
        <f ca="1">+C$11+C$12*$F25</f>
        <v>5.023466665686982E-3</v>
      </c>
      <c r="Q25" s="2">
        <f>+C25-15018.5</f>
        <v>41796.120410000003</v>
      </c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2024-07-27T02:58:21Z</dcterms:modified>
</cp:coreProperties>
</file>