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477410E-4700-4BF3-AFD9-572F509C57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9" i="1" l="1"/>
  <c r="D9" i="1"/>
  <c r="C9" i="1"/>
  <c r="Q21" i="1"/>
  <c r="Q22" i="1"/>
  <c r="Q23" i="1"/>
  <c r="Q24" i="1"/>
  <c r="Q25" i="1"/>
  <c r="Q26" i="1"/>
  <c r="Q27" i="1"/>
  <c r="Q28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5" i="1"/>
  <c r="Q56" i="1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1" i="2"/>
  <c r="C11" i="2"/>
  <c r="E11" i="2"/>
  <c r="G19" i="2"/>
  <c r="C19" i="2"/>
  <c r="G18" i="2"/>
  <c r="C18" i="2"/>
  <c r="G17" i="2"/>
  <c r="C17" i="2"/>
  <c r="G16" i="2"/>
  <c r="C16" i="2"/>
  <c r="G15" i="2"/>
  <c r="C15" i="2"/>
  <c r="G14" i="2"/>
  <c r="C14" i="2"/>
  <c r="E14" i="2"/>
  <c r="G13" i="2"/>
  <c r="C13" i="2"/>
  <c r="G12" i="2"/>
  <c r="C12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1" i="2"/>
  <c r="D11" i="2"/>
  <c r="B11" i="2"/>
  <c r="A11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F16" i="1"/>
  <c r="F17" i="1" s="1"/>
  <c r="Q54" i="1"/>
  <c r="C7" i="1"/>
  <c r="E23" i="1"/>
  <c r="F23" i="1"/>
  <c r="C8" i="1"/>
  <c r="E29" i="1"/>
  <c r="F29" i="1"/>
  <c r="C17" i="1"/>
  <c r="Q29" i="1"/>
  <c r="E34" i="2"/>
  <c r="E27" i="2"/>
  <c r="E35" i="2"/>
  <c r="E20" i="2"/>
  <c r="E36" i="2"/>
  <c r="E44" i="2"/>
  <c r="E37" i="2"/>
  <c r="E12" i="2"/>
  <c r="E17" i="2"/>
  <c r="E39" i="2"/>
  <c r="E22" i="2"/>
  <c r="E24" i="2"/>
  <c r="E42" i="2"/>
  <c r="E54" i="1"/>
  <c r="F54" i="1"/>
  <c r="G54" i="1"/>
  <c r="I54" i="1"/>
  <c r="E53" i="1"/>
  <c r="F53" i="1"/>
  <c r="G53" i="1"/>
  <c r="I53" i="1"/>
  <c r="E45" i="1"/>
  <c r="F45" i="1"/>
  <c r="E37" i="1"/>
  <c r="F37" i="1"/>
  <c r="E28" i="1"/>
  <c r="F28" i="1"/>
  <c r="G52" i="1"/>
  <c r="I52" i="1"/>
  <c r="E50" i="1"/>
  <c r="F50" i="1"/>
  <c r="E42" i="1"/>
  <c r="F42" i="1"/>
  <c r="E34" i="1"/>
  <c r="F34" i="1"/>
  <c r="E25" i="1"/>
  <c r="F25" i="1"/>
  <c r="G25" i="1"/>
  <c r="I25" i="1"/>
  <c r="E56" i="1"/>
  <c r="F56" i="1"/>
  <c r="G56" i="1"/>
  <c r="I56" i="1"/>
  <c r="E47" i="1"/>
  <c r="F47" i="1"/>
  <c r="G47" i="1"/>
  <c r="I47" i="1"/>
  <c r="E39" i="1"/>
  <c r="F39" i="1"/>
  <c r="G39" i="1"/>
  <c r="I39" i="1"/>
  <c r="E31" i="1"/>
  <c r="F31" i="1"/>
  <c r="G31" i="1"/>
  <c r="I31" i="1"/>
  <c r="E22" i="1"/>
  <c r="F22" i="1"/>
  <c r="G22" i="1"/>
  <c r="I22" i="1"/>
  <c r="E52" i="1"/>
  <c r="F52" i="1"/>
  <c r="E44" i="1"/>
  <c r="F44" i="1"/>
  <c r="U44" i="1"/>
  <c r="E36" i="1"/>
  <c r="F36" i="1"/>
  <c r="G36" i="1"/>
  <c r="I36" i="1"/>
  <c r="E27" i="1"/>
  <c r="F27" i="1"/>
  <c r="G27" i="1"/>
  <c r="I27" i="1"/>
  <c r="E49" i="1"/>
  <c r="F49" i="1"/>
  <c r="G49" i="1"/>
  <c r="I49" i="1"/>
  <c r="E41" i="1"/>
  <c r="F41" i="1"/>
  <c r="G41" i="1"/>
  <c r="I41" i="1"/>
  <c r="E33" i="1"/>
  <c r="F33" i="1"/>
  <c r="G33" i="1"/>
  <c r="I33" i="1"/>
  <c r="G26" i="1"/>
  <c r="I26" i="1"/>
  <c r="E24" i="1"/>
  <c r="F24" i="1"/>
  <c r="G24" i="1"/>
  <c r="I24" i="1"/>
  <c r="E55" i="1"/>
  <c r="F55" i="1"/>
  <c r="G55" i="1"/>
  <c r="I55" i="1"/>
  <c r="E46" i="1"/>
  <c r="F46" i="1"/>
  <c r="G46" i="1"/>
  <c r="I46" i="1"/>
  <c r="E38" i="1"/>
  <c r="F38" i="1"/>
  <c r="G38" i="1"/>
  <c r="I38" i="1"/>
  <c r="G32" i="1"/>
  <c r="I32" i="1"/>
  <c r="E30" i="1"/>
  <c r="F30" i="1"/>
  <c r="G30" i="1"/>
  <c r="I30" i="1"/>
  <c r="G23" i="1"/>
  <c r="I23" i="1"/>
  <c r="E51" i="1"/>
  <c r="F51" i="1"/>
  <c r="G51" i="1"/>
  <c r="I51" i="1"/>
  <c r="G45" i="1"/>
  <c r="I45" i="1"/>
  <c r="E43" i="1"/>
  <c r="F43" i="1"/>
  <c r="U43" i="1"/>
  <c r="G37" i="1"/>
  <c r="I37" i="1"/>
  <c r="E35" i="1"/>
  <c r="F35" i="1"/>
  <c r="G35" i="1"/>
  <c r="I35" i="1"/>
  <c r="G28" i="1"/>
  <c r="I28" i="1"/>
  <c r="E26" i="1"/>
  <c r="F26" i="1"/>
  <c r="E21" i="1"/>
  <c r="F21" i="1"/>
  <c r="G21" i="1"/>
  <c r="G29" i="1"/>
  <c r="H29" i="1"/>
  <c r="G50" i="1"/>
  <c r="I50" i="1"/>
  <c r="E48" i="1"/>
  <c r="F48" i="1"/>
  <c r="G48" i="1"/>
  <c r="I48" i="1"/>
  <c r="G42" i="1"/>
  <c r="I42" i="1"/>
  <c r="E40" i="1"/>
  <c r="F40" i="1"/>
  <c r="G40" i="1"/>
  <c r="I40" i="1"/>
  <c r="G34" i="1"/>
  <c r="I34" i="1"/>
  <c r="E32" i="1"/>
  <c r="F32" i="1"/>
  <c r="I21" i="1"/>
  <c r="E19" i="2"/>
  <c r="E26" i="2"/>
  <c r="E40" i="2"/>
  <c r="E31" i="2"/>
  <c r="E38" i="2"/>
  <c r="E41" i="2"/>
  <c r="E45" i="2"/>
  <c r="E13" i="2"/>
  <c r="E16" i="2"/>
  <c r="E15" i="2"/>
  <c r="E33" i="2"/>
  <c r="E21" i="2"/>
  <c r="E25" i="2"/>
  <c r="E32" i="2"/>
  <c r="E23" i="2"/>
  <c r="E29" i="2"/>
  <c r="E43" i="2"/>
  <c r="E18" i="2"/>
  <c r="E28" i="2"/>
  <c r="E30" i="2"/>
  <c r="C12" i="1"/>
  <c r="C11" i="1"/>
  <c r="O44" i="1" l="1"/>
  <c r="C15" i="1"/>
  <c r="O23" i="1"/>
  <c r="O25" i="1"/>
  <c r="O37" i="1"/>
  <c r="O40" i="1"/>
  <c r="O47" i="1"/>
  <c r="O41" i="1"/>
  <c r="O26" i="1"/>
  <c r="O52" i="1"/>
  <c r="O30" i="1"/>
  <c r="O32" i="1"/>
  <c r="O34" i="1"/>
  <c r="O35" i="1"/>
  <c r="O46" i="1"/>
  <c r="O42" i="1"/>
  <c r="O27" i="1"/>
  <c r="O36" i="1"/>
  <c r="O56" i="1"/>
  <c r="O43" i="1"/>
  <c r="O53" i="1"/>
  <c r="O22" i="1"/>
  <c r="O48" i="1"/>
  <c r="O50" i="1"/>
  <c r="O29" i="1"/>
  <c r="O39" i="1"/>
  <c r="O55" i="1"/>
  <c r="O51" i="1"/>
  <c r="O21" i="1"/>
  <c r="O31" i="1"/>
  <c r="O24" i="1"/>
  <c r="O54" i="1"/>
  <c r="O38" i="1"/>
  <c r="O33" i="1"/>
  <c r="O45" i="1"/>
  <c r="O28" i="1"/>
  <c r="O49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<sst xmlns="http://schemas.openxmlformats.org/spreadsheetml/2006/main" count="440" uniqueCount="189">
  <si>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</si>
  <si>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</si>
  <si>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</si>
  <si>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</si>
  <si>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</si>
  <si>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</si>
  <si>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</si>
  <si>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</si>
  <si>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</si>
  <si>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</si>
  <si>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</si>
  <si>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</si>
  <si>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</si>
  <si>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</si>
  <si>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</si>
  <si>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</si>
  <si>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</si>
  <si>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</si>
  <si>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</si>
  <si>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</si>
  <si>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</si>
  <si>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</si>
  <si>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</si>
  <si>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</si>
  <si>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</si>
  <si>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</si>
  <si>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</si>
  <si>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</si>
  <si>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0951</t>
  </si>
  <si>
    <t>ELL/KE</t>
  </si>
  <si>
    <t># of data points:</t>
  </si>
  <si>
    <t xml:space="preserve">AO Cas / GSC 03259-00394 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</si>
  <si>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</si>
  <si>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</si>
  <si>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</si>
  <si>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</si>
  <si>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</si>
  <si>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</si>
  <si>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</si>
  <si>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</si>
  <si>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</si>
  <si>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</si>
  <si>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</si>
  <si>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</si>
  <si>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</si>
  <si>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</si>
  <si>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</si>
  <si>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</si>
  <si>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</si>
  <si>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</si>
  <si>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</si>
  <si>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</si>
  <si>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2422212.675 </t>
  </si>
  <si>
    <t> 11.09.1919 04:12 </t>
  </si>
  <si>
    <t> 0.001 </t>
  </si>
  <si>
    <t>E </t>
  </si>
  <si>
    <t>?</t>
  </si>
  <si>
    <t> P.Guthnick </t>
  </si>
  <si>
    <t> AN 211.391 </t>
  </si>
  <si>
    <t>2422300.757 </t>
  </si>
  <si>
    <t> 08.12.1919 06:10 </t>
  </si>
  <si>
    <t> -0.004 </t>
  </si>
  <si>
    <t> M.Güssow </t>
  </si>
  <si>
    <t> AN 237.321 </t>
  </si>
  <si>
    <t>2422348.320 </t>
  </si>
  <si>
    <t> 24.01.1920 19:40 </t>
  </si>
  <si>
    <t> 0.074 </t>
  </si>
  <si>
    <t>2422987.822 </t>
  </si>
  <si>
    <t> 25.10.1921 07:43 </t>
  </si>
  <si>
    <t> -0.019 </t>
  </si>
  <si>
    <t> Guthnick &amp; Pavel </t>
  </si>
  <si>
    <t> AN 215.395 </t>
  </si>
  <si>
    <t>2424770.667 </t>
  </si>
  <si>
    <t> 12.09.1926 04:00 </t>
  </si>
  <si>
    <t> -0.058 </t>
  </si>
  <si>
    <t>2427399.159 </t>
  </si>
  <si>
    <t> 22.11.1933 15:48 </t>
  </si>
  <si>
    <t> -0.088 </t>
  </si>
  <si>
    <t> A.L.Bennett </t>
  </si>
  <si>
    <t> AJ 47.104 </t>
  </si>
  <si>
    <t>2427418.536 </t>
  </si>
  <si>
    <t> 12.12.1933 00:51 </t>
  </si>
  <si>
    <t> -0.008 </t>
  </si>
  <si>
    <t>2427751.610 </t>
  </si>
  <si>
    <t> 10.11.1934 02:38 </t>
  </si>
  <si>
    <t> 0.015 </t>
  </si>
  <si>
    <t>2432191.189 </t>
  </si>
  <si>
    <t> 05.01.1947 16:32 </t>
  </si>
  <si>
    <t> 0.000 </t>
  </si>
  <si>
    <t> F.B.Wood </t>
  </si>
  <si>
    <t> APJ 108.28 </t>
  </si>
  <si>
    <t>2432192.885 </t>
  </si>
  <si>
    <t> 07.01.1947 09:14 </t>
  </si>
  <si>
    <t> 0.016 </t>
  </si>
  <si>
    <t>2432527.608 </t>
  </si>
  <si>
    <t> 08.12.1947 02:35 </t>
  </si>
  <si>
    <t> 0.008 </t>
  </si>
  <si>
    <t> AJ 56.53 </t>
  </si>
  <si>
    <t>2432821.845 </t>
  </si>
  <si>
    <t> 27.09.1948 08:16 </t>
  </si>
  <si>
    <t> -0.048 </t>
  </si>
  <si>
    <t> W.A.Hiltner </t>
  </si>
  <si>
    <t> APJ 110.443 </t>
  </si>
  <si>
    <t>2432844.690 </t>
  </si>
  <si>
    <t> 20.10.1948 04:33 </t>
  </si>
  <si>
    <t> -0.024 </t>
  </si>
  <si>
    <t>2433255.301 </t>
  </si>
  <si>
    <t> 04.12.1949 19:13 </t>
  </si>
  <si>
    <t> 0.019 </t>
  </si>
  <si>
    <t> AJ 65.137 </t>
  </si>
  <si>
    <t>2433256.993 </t>
  </si>
  <si>
    <t> 06.12.1949 11:49 </t>
  </si>
  <si>
    <t> 0.031 </t>
  </si>
  <si>
    <t>2435372.878 </t>
  </si>
  <si>
    <t> 22.09.1955 09:04 </t>
  </si>
  <si>
    <t> -0.020 </t>
  </si>
  <si>
    <t> R.H.Koch </t>
  </si>
  <si>
    <t>2435374.552 </t>
  </si>
  <si>
    <t> 24.09.1955 01:14 </t>
  </si>
  <si>
    <t> -0.026 </t>
  </si>
  <si>
    <t>2435386.987 </t>
  </si>
  <si>
    <t> 06.10.1955 11:41 </t>
  </si>
  <si>
    <t> -0.005 </t>
  </si>
  <si>
    <t> Koch (Szafraniec) </t>
  </si>
  <si>
    <t> AA 12.184 </t>
  </si>
  <si>
    <t>2435394.001 </t>
  </si>
  <si>
    <t> 13.10.1955 12:01 </t>
  </si>
  <si>
    <t> -0.038 </t>
  </si>
  <si>
    <t>2435411.617 </t>
  </si>
  <si>
    <t> 31.10.1955 02:48 </t>
  </si>
  <si>
    <t> -0.039 </t>
  </si>
  <si>
    <t>2435786.776 </t>
  </si>
  <si>
    <t> 09.11.1956 06:37 </t>
  </si>
  <si>
    <t> -0.050 </t>
  </si>
  <si>
    <t>2435795.656 </t>
  </si>
  <si>
    <t> 18.11.1956 03:44 </t>
  </si>
  <si>
    <t> -0.060 </t>
  </si>
  <si>
    <t>2435815.915 </t>
  </si>
  <si>
    <t> 08.12.1956 09:57 </t>
  </si>
  <si>
    <t> -0.942 </t>
  </si>
  <si>
    <t> G.Mannino </t>
  </si>
  <si>
    <t> MSAI 30.19 </t>
  </si>
  <si>
    <t>2435893.411 </t>
  </si>
  <si>
    <t> 23.02.1957 21:51 </t>
  </si>
  <si>
    <t> -0.963 </t>
  </si>
  <si>
    <t> K.D.Abhyankar </t>
  </si>
  <si>
    <t> APJS 4.157 </t>
  </si>
  <si>
    <t>2436096.843 </t>
  </si>
  <si>
    <t> 15.09.1957 08:13 </t>
  </si>
  <si>
    <t> Abhyankar (Kalv) </t>
  </si>
  <si>
    <t> PTAO 43.103 </t>
  </si>
  <si>
    <t>2436151.539 </t>
  </si>
  <si>
    <t> 09.11.1957 00:56 </t>
  </si>
  <si>
    <t> -0.049 </t>
  </si>
  <si>
    <t>2437141.55 </t>
  </si>
  <si>
    <t> 26.07.1960 01:12 </t>
  </si>
  <si>
    <t> -0.14 </t>
  </si>
  <si>
    <t> A.Masani </t>
  </si>
  <si>
    <t> MSAI 32.34 </t>
  </si>
  <si>
    <t>2440030.945 </t>
  </si>
  <si>
    <t> 23.06.1968 10:40 </t>
  </si>
  <si>
    <t> P.Kalv </t>
  </si>
  <si>
    <t>2440071.353 </t>
  </si>
  <si>
    <t> 02.08.1968 20:28 </t>
  </si>
  <si>
    <t> -0.033 </t>
  </si>
  <si>
    <t>2440252.921 </t>
  </si>
  <si>
    <t> 31.01.1969 10:06 </t>
  </si>
  <si>
    <t> -0.006 </t>
  </si>
  <si>
    <t>2440307.424 </t>
  </si>
  <si>
    <t> 26.03.1969 22:10 </t>
  </si>
  <si>
    <t> -0.036 </t>
  </si>
  <si>
    <t>2440606.930 </t>
  </si>
  <si>
    <t> 20.01.1970 10:19 </t>
  </si>
  <si>
    <t>2440629.913 </t>
  </si>
  <si>
    <t> 12.02.1970 09:54 </t>
  </si>
  <si>
    <t> -0.027 </t>
  </si>
  <si>
    <t>2440855.402 </t>
  </si>
  <si>
    <t> 25.09.1970 21:38 </t>
  </si>
  <si>
    <t> -0.042 </t>
  </si>
  <si>
    <t> Battistini et al. </t>
  </si>
  <si>
    <t>IBVS 951 </t>
  </si>
  <si>
    <t>2445295.071 </t>
  </si>
  <si>
    <t> 21.11.1982 13:42 </t>
  </si>
  <si>
    <t> 0.034 </t>
  </si>
  <si>
    <t> V.Harvig </t>
  </si>
  <si>
    <t> PTAO 52.326 </t>
  </si>
  <si>
    <t>I</t>
  </si>
  <si>
    <t>II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</si>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</sst>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Cas - O-C Diagr.</a:t>
            </a:r>
          </a:p>
        </c:rich>
      </c:tx>
      <c:layout>
        <c:manualLayout>
          <c:xMode val="edge"/>
          <c:yMode val="edge"/>
          <c:x val="0.3863301782670925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678942920199375"/>
          <c:w val="0.82318038921775549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8">
                  <c:v>-8.7679999996908009E-2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93-42DC-9839-6211E614ED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1.1840000006486662E-3</c:v>
                </c:pt>
                <c:pt idx="1">
                  <c:v>-3.9909999977680854E-3</c:v>
                </c:pt>
                <c:pt idx="2">
                  <c:v>-8.0654999983380549E-3</c:v>
                </c:pt>
                <c:pt idx="3">
                  <c:v>-1.8955999999889173E-2</c:v>
                </c:pt>
                <c:pt idx="4">
                  <c:v>-5.8377999997901497E-2</c:v>
                </c:pt>
                <c:pt idx="5">
                  <c:v>-8.7679999996908009E-2</c:v>
                </c:pt>
                <c:pt idx="6">
                  <c:v>-8.9858499999536434E-2</c:v>
                </c:pt>
                <c:pt idx="7">
                  <c:v>1.4620000001741573E-2</c:v>
                </c:pt>
                <c:pt idx="9">
                  <c:v>-6.5743499999371124E-2</c:v>
                </c:pt>
                <c:pt idx="10">
                  <c:v>-7.4008499999763444E-2</c:v>
                </c:pt>
                <c:pt idx="11">
                  <c:v>-4.8172999995585997E-2</c:v>
                </c:pt>
                <c:pt idx="12">
                  <c:v>-0.10583849999966333</c:v>
                </c:pt>
                <c:pt idx="13">
                  <c:v>1.8926000004285015E-2</c:v>
                </c:pt>
                <c:pt idx="14">
                  <c:v>-5.0817499999538995E-2</c:v>
                </c:pt>
                <c:pt idx="15">
                  <c:v>-1.9761000003200024E-2</c:v>
                </c:pt>
                <c:pt idx="16">
                  <c:v>-0.1075044999961392</c:v>
                </c:pt>
                <c:pt idx="17">
                  <c:v>-4.7090000007301569E-3</c:v>
                </c:pt>
                <c:pt idx="18">
                  <c:v>-3.7683000002289191E-2</c:v>
                </c:pt>
                <c:pt idx="19">
                  <c:v>-3.911800000059884E-2</c:v>
                </c:pt>
                <c:pt idx="20">
                  <c:v>-0.13148350000119535</c:v>
                </c:pt>
                <c:pt idx="21">
                  <c:v>-6.0200999992957804E-2</c:v>
                </c:pt>
                <c:pt idx="24">
                  <c:v>-0.13133949999610195</c:v>
                </c:pt>
                <c:pt idx="25">
                  <c:v>-4.9387999999453314E-2</c:v>
                </c:pt>
                <c:pt idx="26">
                  <c:v>-0.13823499999125488</c:v>
                </c:pt>
                <c:pt idx="27">
                  <c:v>-2.5749999986146577E-3</c:v>
                </c:pt>
                <c:pt idx="28">
                  <c:v>-0.11467549999360926</c:v>
                </c:pt>
                <c:pt idx="29">
                  <c:v>-6.2559999933000654E-3</c:v>
                </c:pt>
                <c:pt idx="30">
                  <c:v>-0.11730449999595294</c:v>
                </c:pt>
                <c:pt idx="31">
                  <c:v>-0.10769949999667006</c:v>
                </c:pt>
                <c:pt idx="32">
                  <c:v>-2.7365000001736917E-2</c:v>
                </c:pt>
                <c:pt idx="33">
                  <c:v>-4.1933000000426546E-2</c:v>
                </c:pt>
                <c:pt idx="34">
                  <c:v>-4.153299999597948E-2</c:v>
                </c:pt>
                <c:pt idx="35">
                  <c:v>3.3847000006062444E-2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93-42DC-9839-6211E614ED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93-42DC-9839-6211E614ED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93-42DC-9839-6211E614ED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93-42DC-9839-6211E614ED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93-42DC-9839-6211E614ED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93-42DC-9839-6211E614ED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-4.0064452777977724E-2</c:v>
                </c:pt>
                <c:pt idx="1">
                  <c:v>-4.0164665581399549E-2</c:v>
                </c:pt>
                <c:pt idx="2">
                  <c:v>-4.0218780495247339E-2</c:v>
                </c:pt>
                <c:pt idx="3">
                  <c:v>-4.0946325448089765E-2</c:v>
                </c:pt>
                <c:pt idx="4">
                  <c:v>-4.2974632589347445E-2</c:v>
                </c:pt>
                <c:pt idx="5">
                  <c:v>-4.5964982643454617E-2</c:v>
                </c:pt>
                <c:pt idx="6">
                  <c:v>-4.5987029460207419E-2</c:v>
                </c:pt>
                <c:pt idx="7">
                  <c:v>-4.6365833857141908E-2</c:v>
                </c:pt>
                <c:pt idx="8">
                  <c:v>-4.5964982643454617E-2</c:v>
                </c:pt>
                <c:pt idx="9">
                  <c:v>-5.1418563405670178E-2</c:v>
                </c:pt>
                <c:pt idx="10">
                  <c:v>-5.1799372058673104E-2</c:v>
                </c:pt>
                <c:pt idx="11">
                  <c:v>-5.2134082822101989E-2</c:v>
                </c:pt>
                <c:pt idx="12">
                  <c:v>-5.2160138150991658E-2</c:v>
                </c:pt>
                <c:pt idx="13">
                  <c:v>-5.2627129814937355E-2</c:v>
                </c:pt>
                <c:pt idx="14">
                  <c:v>-5.2629134071005793E-2</c:v>
                </c:pt>
                <c:pt idx="15">
                  <c:v>-5.503624560919796E-2</c:v>
                </c:pt>
                <c:pt idx="16">
                  <c:v>-5.5038249865266391E-2</c:v>
                </c:pt>
                <c:pt idx="17">
                  <c:v>-5.5052279657745451E-2</c:v>
                </c:pt>
                <c:pt idx="18">
                  <c:v>-5.5060296682019193E-2</c:v>
                </c:pt>
                <c:pt idx="19">
                  <c:v>-5.5080339242703558E-2</c:v>
                </c:pt>
                <c:pt idx="20">
                  <c:v>-5.5507245785280518E-2</c:v>
                </c:pt>
                <c:pt idx="21">
                  <c:v>-5.5517267065622704E-2</c:v>
                </c:pt>
                <c:pt idx="22">
                  <c:v>-5.5539313882375506E-2</c:v>
                </c:pt>
                <c:pt idx="23">
                  <c:v>-5.5627501149386707E-2</c:v>
                </c:pt>
                <c:pt idx="24">
                  <c:v>-5.5859994853325337E-2</c:v>
                </c:pt>
                <c:pt idx="25">
                  <c:v>-5.5922126791446862E-2</c:v>
                </c:pt>
                <c:pt idx="26">
                  <c:v>-5.7048518701908149E-2</c:v>
                </c:pt>
                <c:pt idx="27">
                  <c:v>-6.0335498654143914E-2</c:v>
                </c:pt>
                <c:pt idx="28">
                  <c:v>-6.0381596543717948E-2</c:v>
                </c:pt>
                <c:pt idx="29">
                  <c:v>-6.0588034918766902E-2</c:v>
                </c:pt>
                <c:pt idx="30">
                  <c:v>-6.0650166856888434E-2</c:v>
                </c:pt>
                <c:pt idx="31">
                  <c:v>-6.099089038852263E-2</c:v>
                </c:pt>
                <c:pt idx="32">
                  <c:v>-6.1016945717412299E-2</c:v>
                </c:pt>
                <c:pt idx="33">
                  <c:v>-6.1273490494172168E-2</c:v>
                </c:pt>
                <c:pt idx="34">
                  <c:v>-6.1273490494172168E-2</c:v>
                </c:pt>
                <c:pt idx="35">
                  <c:v>-6.6324215786632001E-2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93-42DC-9839-6211E614ED2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2">
                  <c:v>0.81962050000583986</c:v>
                </c:pt>
                <c:pt idx="23">
                  <c:v>0.79890650000015739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93-42DC-9839-6211E614E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175816"/>
        <c:axId val="1"/>
      </c:scatterChart>
      <c:valAx>
        <c:axId val="524175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0032837648637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175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19332093146601"/>
          <c:y val="0.9204921861831491"/>
          <c:w val="0.7147107205952896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Cas - O-C Diagr.</a:t>
            </a:r>
          </a:p>
        </c:rich>
      </c:tx>
      <c:layout>
        <c:manualLayout>
          <c:xMode val="edge"/>
          <c:yMode val="edge"/>
          <c:x val="0.385756676557863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4540059347182"/>
          <c:y val="0.14634168126798494"/>
          <c:w val="0.8323442136498516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8">
                  <c:v>-8.7679999996908009E-2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E2-42EC-B484-3684675576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1.1840000006486662E-3</c:v>
                </c:pt>
                <c:pt idx="1">
                  <c:v>-3.9909999977680854E-3</c:v>
                </c:pt>
                <c:pt idx="2">
                  <c:v>-8.0654999983380549E-3</c:v>
                </c:pt>
                <c:pt idx="3">
                  <c:v>-1.8955999999889173E-2</c:v>
                </c:pt>
                <c:pt idx="4">
                  <c:v>-5.8377999997901497E-2</c:v>
                </c:pt>
                <c:pt idx="5">
                  <c:v>-8.7679999996908009E-2</c:v>
                </c:pt>
                <c:pt idx="6">
                  <c:v>-8.9858499999536434E-2</c:v>
                </c:pt>
                <c:pt idx="7">
                  <c:v>1.4620000001741573E-2</c:v>
                </c:pt>
                <c:pt idx="9">
                  <c:v>-6.5743499999371124E-2</c:v>
                </c:pt>
                <c:pt idx="10">
                  <c:v>-7.4008499999763444E-2</c:v>
                </c:pt>
                <c:pt idx="11">
                  <c:v>-4.8172999995585997E-2</c:v>
                </c:pt>
                <c:pt idx="12">
                  <c:v>-0.10583849999966333</c:v>
                </c:pt>
                <c:pt idx="13">
                  <c:v>1.8926000004285015E-2</c:v>
                </c:pt>
                <c:pt idx="14">
                  <c:v>-5.0817499999538995E-2</c:v>
                </c:pt>
                <c:pt idx="15">
                  <c:v>-1.9761000003200024E-2</c:v>
                </c:pt>
                <c:pt idx="16">
                  <c:v>-0.1075044999961392</c:v>
                </c:pt>
                <c:pt idx="17">
                  <c:v>-4.7090000007301569E-3</c:v>
                </c:pt>
                <c:pt idx="18">
                  <c:v>-3.7683000002289191E-2</c:v>
                </c:pt>
                <c:pt idx="19">
                  <c:v>-3.911800000059884E-2</c:v>
                </c:pt>
                <c:pt idx="20">
                  <c:v>-0.13148350000119535</c:v>
                </c:pt>
                <c:pt idx="21">
                  <c:v>-6.0200999992957804E-2</c:v>
                </c:pt>
                <c:pt idx="24">
                  <c:v>-0.13133949999610195</c:v>
                </c:pt>
                <c:pt idx="25">
                  <c:v>-4.9387999999453314E-2</c:v>
                </c:pt>
                <c:pt idx="26">
                  <c:v>-0.13823499999125488</c:v>
                </c:pt>
                <c:pt idx="27">
                  <c:v>-2.5749999986146577E-3</c:v>
                </c:pt>
                <c:pt idx="28">
                  <c:v>-0.11467549999360926</c:v>
                </c:pt>
                <c:pt idx="29">
                  <c:v>-6.2559999933000654E-3</c:v>
                </c:pt>
                <c:pt idx="30">
                  <c:v>-0.11730449999595294</c:v>
                </c:pt>
                <c:pt idx="31">
                  <c:v>-0.10769949999667006</c:v>
                </c:pt>
                <c:pt idx="32">
                  <c:v>-2.7365000001736917E-2</c:v>
                </c:pt>
                <c:pt idx="33">
                  <c:v>-4.1933000000426546E-2</c:v>
                </c:pt>
                <c:pt idx="34">
                  <c:v>-4.153299999597948E-2</c:v>
                </c:pt>
                <c:pt idx="35">
                  <c:v>3.3847000006062444E-2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E2-42EC-B484-3684675576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E2-42EC-B484-3684675576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E2-42EC-B484-3684675576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E2-42EC-B484-3684675576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E2-42EC-B484-3684675576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6.9999999999999999E-4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E2-42EC-B484-3684675576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-4.0064452777977724E-2</c:v>
                </c:pt>
                <c:pt idx="1">
                  <c:v>-4.0164665581399549E-2</c:v>
                </c:pt>
                <c:pt idx="2">
                  <c:v>-4.0218780495247339E-2</c:v>
                </c:pt>
                <c:pt idx="3">
                  <c:v>-4.0946325448089765E-2</c:v>
                </c:pt>
                <c:pt idx="4">
                  <c:v>-4.2974632589347445E-2</c:v>
                </c:pt>
                <c:pt idx="5">
                  <c:v>-4.5964982643454617E-2</c:v>
                </c:pt>
                <c:pt idx="6">
                  <c:v>-4.5987029460207419E-2</c:v>
                </c:pt>
                <c:pt idx="7">
                  <c:v>-4.6365833857141908E-2</c:v>
                </c:pt>
                <c:pt idx="8">
                  <c:v>-4.5964982643454617E-2</c:v>
                </c:pt>
                <c:pt idx="9">
                  <c:v>-5.1418563405670178E-2</c:v>
                </c:pt>
                <c:pt idx="10">
                  <c:v>-5.1799372058673104E-2</c:v>
                </c:pt>
                <c:pt idx="11">
                  <c:v>-5.2134082822101989E-2</c:v>
                </c:pt>
                <c:pt idx="12">
                  <c:v>-5.2160138150991658E-2</c:v>
                </c:pt>
                <c:pt idx="13">
                  <c:v>-5.2627129814937355E-2</c:v>
                </c:pt>
                <c:pt idx="14">
                  <c:v>-5.2629134071005793E-2</c:v>
                </c:pt>
                <c:pt idx="15">
                  <c:v>-5.503624560919796E-2</c:v>
                </c:pt>
                <c:pt idx="16">
                  <c:v>-5.5038249865266391E-2</c:v>
                </c:pt>
                <c:pt idx="17">
                  <c:v>-5.5052279657745451E-2</c:v>
                </c:pt>
                <c:pt idx="18">
                  <c:v>-5.5060296682019193E-2</c:v>
                </c:pt>
                <c:pt idx="19">
                  <c:v>-5.5080339242703558E-2</c:v>
                </c:pt>
                <c:pt idx="20">
                  <c:v>-5.5507245785280518E-2</c:v>
                </c:pt>
                <c:pt idx="21">
                  <c:v>-5.5517267065622704E-2</c:v>
                </c:pt>
                <c:pt idx="22">
                  <c:v>-5.5539313882375506E-2</c:v>
                </c:pt>
                <c:pt idx="23">
                  <c:v>-5.5627501149386707E-2</c:v>
                </c:pt>
                <c:pt idx="24">
                  <c:v>-5.5859994853325337E-2</c:v>
                </c:pt>
                <c:pt idx="25">
                  <c:v>-5.5922126791446862E-2</c:v>
                </c:pt>
                <c:pt idx="26">
                  <c:v>-5.7048518701908149E-2</c:v>
                </c:pt>
                <c:pt idx="27">
                  <c:v>-6.0335498654143914E-2</c:v>
                </c:pt>
                <c:pt idx="28">
                  <c:v>-6.0381596543717948E-2</c:v>
                </c:pt>
                <c:pt idx="29">
                  <c:v>-6.0588034918766902E-2</c:v>
                </c:pt>
                <c:pt idx="30">
                  <c:v>-6.0650166856888434E-2</c:v>
                </c:pt>
                <c:pt idx="31">
                  <c:v>-6.099089038852263E-2</c:v>
                </c:pt>
                <c:pt idx="32">
                  <c:v>-6.1016945717412299E-2</c:v>
                </c:pt>
                <c:pt idx="33">
                  <c:v>-6.1273490494172168E-2</c:v>
                </c:pt>
                <c:pt idx="34">
                  <c:v>-6.1273490494172168E-2</c:v>
                </c:pt>
                <c:pt idx="35">
                  <c:v>-6.6324215786632001E-2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E2-42EC-B484-3684675576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-2832</c:v>
                </c:pt>
                <c:pt idx="1">
                  <c:v>-2807</c:v>
                </c:pt>
                <c:pt idx="2">
                  <c:v>-2793.5</c:v>
                </c:pt>
                <c:pt idx="3">
                  <c:v>-2612</c:v>
                </c:pt>
                <c:pt idx="4">
                  <c:v>-2106</c:v>
                </c:pt>
                <c:pt idx="5">
                  <c:v>-1360</c:v>
                </c:pt>
                <c:pt idx="6">
                  <c:v>-1354.5</c:v>
                </c:pt>
                <c:pt idx="7">
                  <c:v>-1260</c:v>
                </c:pt>
                <c:pt idx="8">
                  <c:v>-1360</c:v>
                </c:pt>
                <c:pt idx="9">
                  <c:v>0.5</c:v>
                </c:pt>
                <c:pt idx="10">
                  <c:v>95.5</c:v>
                </c:pt>
                <c:pt idx="11">
                  <c:v>179</c:v>
                </c:pt>
                <c:pt idx="12">
                  <c:v>185.5</c:v>
                </c:pt>
                <c:pt idx="13">
                  <c:v>302</c:v>
                </c:pt>
                <c:pt idx="14">
                  <c:v>302.5</c:v>
                </c:pt>
                <c:pt idx="15">
                  <c:v>903</c:v>
                </c:pt>
                <c:pt idx="16">
                  <c:v>903.5</c:v>
                </c:pt>
                <c:pt idx="17">
                  <c:v>907</c:v>
                </c:pt>
                <c:pt idx="18">
                  <c:v>909</c:v>
                </c:pt>
                <c:pt idx="19">
                  <c:v>914</c:v>
                </c:pt>
                <c:pt idx="20">
                  <c:v>1020.5</c:v>
                </c:pt>
                <c:pt idx="21">
                  <c:v>1023</c:v>
                </c:pt>
                <c:pt idx="22">
                  <c:v>1028.5</c:v>
                </c:pt>
                <c:pt idx="23">
                  <c:v>1050.5</c:v>
                </c:pt>
                <c:pt idx="24">
                  <c:v>1108.5</c:v>
                </c:pt>
                <c:pt idx="25">
                  <c:v>1124</c:v>
                </c:pt>
                <c:pt idx="26">
                  <c:v>1405</c:v>
                </c:pt>
                <c:pt idx="27">
                  <c:v>2225</c:v>
                </c:pt>
                <c:pt idx="28">
                  <c:v>2236.5</c:v>
                </c:pt>
                <c:pt idx="29">
                  <c:v>2288</c:v>
                </c:pt>
                <c:pt idx="30">
                  <c:v>2303.5</c:v>
                </c:pt>
                <c:pt idx="31">
                  <c:v>2388.5</c:v>
                </c:pt>
                <c:pt idx="32">
                  <c:v>2395</c:v>
                </c:pt>
                <c:pt idx="33">
                  <c:v>2459</c:v>
                </c:pt>
                <c:pt idx="34">
                  <c:v>2459</c:v>
                </c:pt>
                <c:pt idx="35">
                  <c:v>3719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2">
                  <c:v>0.81962050000583986</c:v>
                </c:pt>
                <c:pt idx="23">
                  <c:v>0.79890650000015739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E2-42EC-B484-368467557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866888"/>
        <c:axId val="1"/>
      </c:scatterChart>
      <c:valAx>
        <c:axId val="52386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7715133531157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86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45994065281898"/>
          <c:y val="0.92073298764483702"/>
          <c:w val="0.7136498516320475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171450</xdr:colOff>
      <xdr:row>18</xdr:row>
      <xdr:rowOff>38100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E5105263-9589-8F7A-0DCE-365E4F97D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247650</xdr:colOff>
      <xdr:row>18</xdr:row>
      <xdr:rowOff>47625</xdr:rowOff>
    </xdr:to>
    <xdr:graphicFrame macro="">
      <xdr:nvGraphicFramePr>
        <xdr:cNvPr id="1036" name="Chart 2">
          <a:extLst>
            <a:ext uri="{FF2B5EF4-FFF2-40B4-BE49-F238E27FC236}">
              <a16:creationId xmlns:a16="http://schemas.microsoft.com/office/drawing/2014/main" id="{4B589D27-2DDF-33D8-C967-E66A35BFD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951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</row>
    <row r="2" spans="1:6" x14ac:dyDescent="0.2">
      <c r="A2" t="s">
        <v>24</v>
      </c>
      <c r="B2" s="11" t="s">
        <v>29</v>
      </c>
    </row>
    <row r="4" spans="1:6" ht="14.25" thickTop="1" thickBot="1" x14ac:dyDescent="0.25">
      <c r="A4" s="6" t="s">
        <v>0</v>
      </c>
      <c r="C4" s="3">
        <v>32191.188999999998</v>
      </c>
      <c r="D4" s="4">
        <v>3.5234869999999998</v>
      </c>
    </row>
    <row r="5" spans="1:6" ht="13.5" thickTop="1" x14ac:dyDescent="0.2">
      <c r="A5" s="13" t="s">
        <v>32</v>
      </c>
      <c r="B5" s="11"/>
      <c r="C5" s="14">
        <v>-9.5</v>
      </c>
      <c r="D5" s="11" t="s">
        <v>33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32191.188999999998</v>
      </c>
    </row>
    <row r="8" spans="1:6" x14ac:dyDescent="0.2">
      <c r="A8" t="s">
        <v>3</v>
      </c>
      <c r="C8">
        <f>+D4</f>
        <v>3.5234869999999998</v>
      </c>
    </row>
    <row r="9" spans="1:6" x14ac:dyDescent="0.2">
      <c r="A9" s="28" t="s">
        <v>37</v>
      </c>
      <c r="B9" s="29">
        <v>21</v>
      </c>
      <c r="C9" s="17" t="str">
        <f>"F"&amp;B9</f>
        <v>F21</v>
      </c>
      <c r="D9" s="18" t="str">
        <f>"G"&amp;B9</f>
        <v>G21</v>
      </c>
    </row>
    <row r="10" spans="1:6" ht="13.5" thickBot="1" x14ac:dyDescent="0.25">
      <c r="A10" s="11"/>
      <c r="B10" s="11"/>
      <c r="C10" s="5" t="s">
        <v>20</v>
      </c>
      <c r="D10" s="5" t="s">
        <v>21</v>
      </c>
      <c r="E10" s="11"/>
    </row>
    <row r="11" spans="1:6" x14ac:dyDescent="0.2">
      <c r="A11" s="11" t="s">
        <v>16</v>
      </c>
      <c r="B11" s="11"/>
      <c r="C11" s="15">
        <f ca="1">INTERCEPT(INDIRECT($D$9):G992,INDIRECT($C$9):F992)</f>
        <v>-5.1416559149601741E-2</v>
      </c>
      <c r="D11" s="16"/>
      <c r="E11" s="11"/>
    </row>
    <row r="12" spans="1:6" x14ac:dyDescent="0.2">
      <c r="A12" s="11" t="s">
        <v>17</v>
      </c>
      <c r="B12" s="11"/>
      <c r="C12" s="15">
        <f ca="1">SLOPE(INDIRECT($D$9):G992,INDIRECT($C$9):F992)</f>
        <v>-4.0085121368728859E-6</v>
      </c>
      <c r="D12" s="16"/>
      <c r="E12" s="11"/>
    </row>
    <row r="13" spans="1:6" x14ac:dyDescent="0.2">
      <c r="A13" s="11" t="s">
        <v>19</v>
      </c>
      <c r="B13" s="11"/>
      <c r="C13" s="16" t="s">
        <v>14</v>
      </c>
    </row>
    <row r="14" spans="1:6" x14ac:dyDescent="0.2">
      <c r="A14" s="11"/>
      <c r="B14" s="11"/>
      <c r="C14" s="11"/>
    </row>
    <row r="15" spans="1:6" x14ac:dyDescent="0.2">
      <c r="A15" s="19" t="s">
        <v>18</v>
      </c>
      <c r="B15" s="11"/>
      <c r="C15" s="20">
        <f ca="1">(C7+C11)+(C8+C12)*INT(MAX(F21:F3533))</f>
        <v>45294.970828784208</v>
      </c>
      <c r="E15" s="21" t="s">
        <v>38</v>
      </c>
      <c r="F15" s="14">
        <v>1</v>
      </c>
    </row>
    <row r="16" spans="1:6" x14ac:dyDescent="0.2">
      <c r="A16" s="23" t="s">
        <v>4</v>
      </c>
      <c r="B16" s="11"/>
      <c r="C16" s="24">
        <f ca="1">+C8+C12</f>
        <v>3.5234829914878629</v>
      </c>
      <c r="E16" s="21" t="s">
        <v>34</v>
      </c>
      <c r="F16" s="22">
        <f ca="1">NOW()+15018.5+$C$5/24</f>
        <v>60328.636029629626</v>
      </c>
    </row>
    <row r="17" spans="1:21" ht="13.5" thickBot="1" x14ac:dyDescent="0.25">
      <c r="A17" s="21" t="s">
        <v>30</v>
      </c>
      <c r="B17" s="11"/>
      <c r="C17" s="11">
        <f>COUNT(C21:C2191)</f>
        <v>36</v>
      </c>
      <c r="E17" s="21" t="s">
        <v>39</v>
      </c>
      <c r="F17" s="22">
        <f ca="1">ROUND(2*(F16-$C$7)/$C$8,0)/2+F15</f>
        <v>7986.5</v>
      </c>
    </row>
    <row r="18" spans="1:21" ht="14.25" thickTop="1" thickBot="1" x14ac:dyDescent="0.25">
      <c r="A18" s="23" t="s">
        <v>5</v>
      </c>
      <c r="B18" s="11"/>
      <c r="C18" s="26">
        <f ca="1">+C15</f>
        <v>45294.970828784208</v>
      </c>
      <c r="D18" s="27">
        <f ca="1">+C16</f>
        <v>3.5234829914878629</v>
      </c>
      <c r="E18" s="21" t="s">
        <v>35</v>
      </c>
      <c r="F18" s="18">
        <f ca="1">ROUND(2*(F16-$C$15)/$C$16,0)/2+F15</f>
        <v>4267.5</v>
      </c>
    </row>
    <row r="19" spans="1:21" ht="13.5" thickTop="1" x14ac:dyDescent="0.2">
      <c r="E19" s="21" t="s">
        <v>36</v>
      </c>
      <c r="F19" s="25">
        <f ca="1">+$C$15+$C$16*F18-15018.5-$C$5/24</f>
        <v>45313.330328292002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47</v>
      </c>
      <c r="I20" s="8" t="s">
        <v>50</v>
      </c>
      <c r="J20" s="8" t="s">
        <v>44</v>
      </c>
      <c r="K20" s="8" t="s">
        <v>42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45" t="s">
        <v>188</v>
      </c>
    </row>
    <row r="21" spans="1:21" x14ac:dyDescent="0.2">
      <c r="A21" s="43" t="s">
        <v>58</v>
      </c>
      <c r="B21" s="44" t="s">
        <v>186</v>
      </c>
      <c r="C21" s="43">
        <v>22212.674999999999</v>
      </c>
      <c r="D21" s="43" t="s">
        <v>50</v>
      </c>
      <c r="E21">
        <f t="shared" ref="E21:E56" si="0">+(C21-C$7)/C$8</f>
        <v>-2831.999663969244</v>
      </c>
      <c r="F21">
        <f t="shared" ref="F21:F56" si="1">ROUND(2*E21,0)/2</f>
        <v>-2832</v>
      </c>
      <c r="G21">
        <f t="shared" ref="G21:G42" si="2">+C21-(C$7+F21*C$8)</f>
        <v>1.1840000006486662E-3</v>
      </c>
      <c r="I21">
        <f t="shared" ref="I21:I28" si="3">+G21</f>
        <v>1.1840000006486662E-3</v>
      </c>
      <c r="O21">
        <f t="shared" ref="O21:O56" ca="1" si="4">+C$11+C$12*$F21</f>
        <v>-4.0064452777977724E-2</v>
      </c>
      <c r="Q21" s="2">
        <f t="shared" ref="Q21:Q56" si="5">+C21-15018.5</f>
        <v>7194.1749999999993</v>
      </c>
    </row>
    <row r="22" spans="1:21" x14ac:dyDescent="0.2">
      <c r="A22" s="43" t="s">
        <v>63</v>
      </c>
      <c r="B22" s="44" t="s">
        <v>186</v>
      </c>
      <c r="C22" s="43">
        <v>22300.757000000001</v>
      </c>
      <c r="D22" s="43" t="s">
        <v>50</v>
      </c>
      <c r="E22">
        <f t="shared" si="0"/>
        <v>-2807.0011326847516</v>
      </c>
      <c r="F22">
        <f t="shared" si="1"/>
        <v>-2807</v>
      </c>
      <c r="G22">
        <f t="shared" si="2"/>
        <v>-3.9909999977680854E-3</v>
      </c>
      <c r="I22">
        <f t="shared" si="3"/>
        <v>-3.9909999977680854E-3</v>
      </c>
      <c r="O22">
        <f t="shared" ca="1" si="4"/>
        <v>-4.0164665581399549E-2</v>
      </c>
      <c r="Q22" s="2">
        <f t="shared" si="5"/>
        <v>7282.2570000000014</v>
      </c>
    </row>
    <row r="23" spans="1:21" x14ac:dyDescent="0.2">
      <c r="A23" s="43" t="s">
        <v>58</v>
      </c>
      <c r="B23" s="44" t="s">
        <v>187</v>
      </c>
      <c r="C23" s="43">
        <v>22348.32</v>
      </c>
      <c r="D23" s="43" t="s">
        <v>50</v>
      </c>
      <c r="E23">
        <f t="shared" si="0"/>
        <v>-2793.5022890676196</v>
      </c>
      <c r="F23">
        <f t="shared" si="1"/>
        <v>-2793.5</v>
      </c>
      <c r="G23">
        <f t="shared" si="2"/>
        <v>-8.0654999983380549E-3</v>
      </c>
      <c r="I23">
        <f t="shared" si="3"/>
        <v>-8.0654999983380549E-3</v>
      </c>
      <c r="O23">
        <f t="shared" ca="1" si="4"/>
        <v>-4.0218780495247339E-2</v>
      </c>
      <c r="Q23" s="2">
        <f t="shared" si="5"/>
        <v>7329.82</v>
      </c>
    </row>
    <row r="24" spans="1:21" x14ac:dyDescent="0.2">
      <c r="A24" s="43" t="s">
        <v>71</v>
      </c>
      <c r="B24" s="44" t="s">
        <v>186</v>
      </c>
      <c r="C24" s="43">
        <v>22987.822</v>
      </c>
      <c r="D24" s="43" t="s">
        <v>50</v>
      </c>
      <c r="E24">
        <f t="shared" si="0"/>
        <v>-2612.0053798978111</v>
      </c>
      <c r="F24">
        <f t="shared" si="1"/>
        <v>-2612</v>
      </c>
      <c r="G24">
        <f t="shared" si="2"/>
        <v>-1.8955999999889173E-2</v>
      </c>
      <c r="I24">
        <f t="shared" si="3"/>
        <v>-1.8955999999889173E-2</v>
      </c>
      <c r="O24">
        <f t="shared" ca="1" si="4"/>
        <v>-4.0946325448089765E-2</v>
      </c>
      <c r="Q24" s="2">
        <f t="shared" si="5"/>
        <v>7969.3220000000001</v>
      </c>
    </row>
    <row r="25" spans="1:21" x14ac:dyDescent="0.2">
      <c r="A25" s="43" t="s">
        <v>63</v>
      </c>
      <c r="B25" s="44" t="s">
        <v>186</v>
      </c>
      <c r="C25" s="43">
        <v>24770.667000000001</v>
      </c>
      <c r="D25" s="43" t="s">
        <v>50</v>
      </c>
      <c r="E25">
        <f t="shared" si="0"/>
        <v>-2106.0165682461716</v>
      </c>
      <c r="F25">
        <f t="shared" si="1"/>
        <v>-2106</v>
      </c>
      <c r="G25">
        <f t="shared" si="2"/>
        <v>-5.8377999997901497E-2</v>
      </c>
      <c r="I25">
        <f t="shared" si="3"/>
        <v>-5.8377999997901497E-2</v>
      </c>
      <c r="O25">
        <f t="shared" ca="1" si="4"/>
        <v>-4.2974632589347445E-2</v>
      </c>
      <c r="Q25" s="2">
        <f t="shared" si="5"/>
        <v>9752.1670000000013</v>
      </c>
    </row>
    <row r="26" spans="1:21" x14ac:dyDescent="0.2">
      <c r="A26" s="43" t="s">
        <v>79</v>
      </c>
      <c r="B26" s="44" t="s">
        <v>186</v>
      </c>
      <c r="C26" s="43">
        <v>27399.159</v>
      </c>
      <c r="D26" s="43" t="s">
        <v>50</v>
      </c>
      <c r="E26">
        <f t="shared" si="0"/>
        <v>-1360.0248844397606</v>
      </c>
      <c r="F26">
        <f t="shared" si="1"/>
        <v>-1360</v>
      </c>
      <c r="G26">
        <f t="shared" si="2"/>
        <v>-8.7679999996908009E-2</v>
      </c>
      <c r="I26">
        <f t="shared" si="3"/>
        <v>-8.7679999996908009E-2</v>
      </c>
      <c r="O26">
        <f t="shared" ca="1" si="4"/>
        <v>-4.5964982643454617E-2</v>
      </c>
      <c r="Q26" s="2">
        <f t="shared" si="5"/>
        <v>12380.659</v>
      </c>
    </row>
    <row r="27" spans="1:21" x14ac:dyDescent="0.2">
      <c r="A27" s="43" t="s">
        <v>79</v>
      </c>
      <c r="B27" s="44" t="s">
        <v>187</v>
      </c>
      <c r="C27" s="43">
        <v>27418.536</v>
      </c>
      <c r="D27" s="43" t="s">
        <v>50</v>
      </c>
      <c r="E27">
        <f t="shared" si="0"/>
        <v>-1354.5255027193227</v>
      </c>
      <c r="F27">
        <f t="shared" si="1"/>
        <v>-1354.5</v>
      </c>
      <c r="G27">
        <f t="shared" si="2"/>
        <v>-8.9858499999536434E-2</v>
      </c>
      <c r="I27">
        <f t="shared" si="3"/>
        <v>-8.9858499999536434E-2</v>
      </c>
      <c r="O27">
        <f t="shared" ca="1" si="4"/>
        <v>-4.5987029460207419E-2</v>
      </c>
      <c r="Q27" s="2">
        <f t="shared" si="5"/>
        <v>12400.036</v>
      </c>
    </row>
    <row r="28" spans="1:21" x14ac:dyDescent="0.2">
      <c r="A28" s="43" t="s">
        <v>79</v>
      </c>
      <c r="B28" s="44" t="s">
        <v>186</v>
      </c>
      <c r="C28" s="43">
        <v>27751.61</v>
      </c>
      <c r="D28" s="43" t="s">
        <v>50</v>
      </c>
      <c r="E28">
        <f t="shared" si="0"/>
        <v>-1259.9958507013075</v>
      </c>
      <c r="F28">
        <f t="shared" si="1"/>
        <v>-1260</v>
      </c>
      <c r="G28">
        <f t="shared" si="2"/>
        <v>1.4620000001741573E-2</v>
      </c>
      <c r="I28">
        <f t="shared" si="3"/>
        <v>1.4620000001741573E-2</v>
      </c>
      <c r="O28">
        <f t="shared" ca="1" si="4"/>
        <v>-4.6365833857141908E-2</v>
      </c>
      <c r="Q28" s="2">
        <f t="shared" si="5"/>
        <v>12733.11</v>
      </c>
    </row>
    <row r="29" spans="1:21" x14ac:dyDescent="0.2">
      <c r="A29" t="s">
        <v>12</v>
      </c>
      <c r="C29" s="12">
        <f>+C26</f>
        <v>27399.159</v>
      </c>
      <c r="D29" s="12" t="s">
        <v>14</v>
      </c>
      <c r="E29">
        <f t="shared" si="0"/>
        <v>-1360.0248844397606</v>
      </c>
      <c r="F29">
        <f t="shared" si="1"/>
        <v>-1360</v>
      </c>
      <c r="G29">
        <f t="shared" si="2"/>
        <v>-8.7679999996908009E-2</v>
      </c>
      <c r="H29">
        <f>+G29</f>
        <v>-8.7679999996908009E-2</v>
      </c>
      <c r="O29">
        <f t="shared" ca="1" si="4"/>
        <v>-4.5964982643454617E-2</v>
      </c>
      <c r="Q29" s="2">
        <f t="shared" si="5"/>
        <v>12380.659</v>
      </c>
    </row>
    <row r="30" spans="1:21" x14ac:dyDescent="0.2">
      <c r="A30" s="43" t="s">
        <v>90</v>
      </c>
      <c r="B30" s="44" t="s">
        <v>187</v>
      </c>
      <c r="C30" s="43">
        <v>32192.884999999998</v>
      </c>
      <c r="D30" s="43" t="s">
        <v>50</v>
      </c>
      <c r="E30">
        <f t="shared" si="0"/>
        <v>0.48134135304030151</v>
      </c>
      <c r="F30">
        <f t="shared" si="1"/>
        <v>0.5</v>
      </c>
      <c r="G30">
        <f t="shared" si="2"/>
        <v>-6.5743499999371124E-2</v>
      </c>
      <c r="I30">
        <f t="shared" ref="I30:I42" si="6">+G30</f>
        <v>-6.5743499999371124E-2</v>
      </c>
      <c r="O30">
        <f t="shared" ca="1" si="4"/>
        <v>-5.1418563405670178E-2</v>
      </c>
      <c r="Q30" s="2">
        <f t="shared" si="5"/>
        <v>17174.384999999998</v>
      </c>
    </row>
    <row r="31" spans="1:21" x14ac:dyDescent="0.2">
      <c r="A31" s="43" t="s">
        <v>97</v>
      </c>
      <c r="B31" s="44" t="s">
        <v>187</v>
      </c>
      <c r="C31" s="43">
        <v>32527.608</v>
      </c>
      <c r="D31" s="43" t="s">
        <v>50</v>
      </c>
      <c r="E31">
        <f t="shared" si="0"/>
        <v>95.478995665374015</v>
      </c>
      <c r="F31">
        <f t="shared" si="1"/>
        <v>95.5</v>
      </c>
      <c r="G31">
        <f t="shared" si="2"/>
        <v>-7.4008499999763444E-2</v>
      </c>
      <c r="I31">
        <f t="shared" si="6"/>
        <v>-7.4008499999763444E-2</v>
      </c>
      <c r="O31">
        <f t="shared" ca="1" si="4"/>
        <v>-5.1799372058673104E-2</v>
      </c>
      <c r="Q31" s="2">
        <f t="shared" si="5"/>
        <v>17509.108</v>
      </c>
    </row>
    <row r="32" spans="1:21" x14ac:dyDescent="0.2">
      <c r="A32" s="43" t="s">
        <v>102</v>
      </c>
      <c r="B32" s="44" t="s">
        <v>186</v>
      </c>
      <c r="C32" s="43">
        <v>32821.845000000001</v>
      </c>
      <c r="D32" s="43" t="s">
        <v>50</v>
      </c>
      <c r="E32">
        <f t="shared" si="0"/>
        <v>178.98632803243001</v>
      </c>
      <c r="F32">
        <f t="shared" si="1"/>
        <v>179</v>
      </c>
      <c r="G32">
        <f t="shared" si="2"/>
        <v>-4.8172999995585997E-2</v>
      </c>
      <c r="I32">
        <f t="shared" si="6"/>
        <v>-4.8172999995585997E-2</v>
      </c>
      <c r="O32">
        <f t="shared" ca="1" si="4"/>
        <v>-5.2134082822101989E-2</v>
      </c>
      <c r="Q32" s="2">
        <f t="shared" si="5"/>
        <v>17803.345000000001</v>
      </c>
    </row>
    <row r="33" spans="1:21" x14ac:dyDescent="0.2">
      <c r="A33" s="43" t="s">
        <v>102</v>
      </c>
      <c r="B33" s="44" t="s">
        <v>187</v>
      </c>
      <c r="C33" s="43">
        <v>32844.69</v>
      </c>
      <c r="D33" s="43" t="s">
        <v>50</v>
      </c>
      <c r="E33">
        <f t="shared" si="0"/>
        <v>185.46996200071231</v>
      </c>
      <c r="F33">
        <f t="shared" si="1"/>
        <v>185.5</v>
      </c>
      <c r="G33">
        <f t="shared" si="2"/>
        <v>-0.10583849999966333</v>
      </c>
      <c r="I33">
        <f t="shared" si="6"/>
        <v>-0.10583849999966333</v>
      </c>
      <c r="O33">
        <f t="shared" ca="1" si="4"/>
        <v>-5.2160138150991658E-2</v>
      </c>
      <c r="Q33" s="2">
        <f t="shared" si="5"/>
        <v>17826.190000000002</v>
      </c>
    </row>
    <row r="34" spans="1:21" x14ac:dyDescent="0.2">
      <c r="A34" s="43" t="s">
        <v>109</v>
      </c>
      <c r="B34" s="44" t="s">
        <v>186</v>
      </c>
      <c r="C34" s="43">
        <v>33255.300999999999</v>
      </c>
      <c r="D34" s="43" t="s">
        <v>50</v>
      </c>
      <c r="E34">
        <f t="shared" si="0"/>
        <v>302.00537138351893</v>
      </c>
      <c r="F34">
        <f t="shared" si="1"/>
        <v>302</v>
      </c>
      <c r="G34">
        <f t="shared" si="2"/>
        <v>1.8926000004285015E-2</v>
      </c>
      <c r="I34">
        <f t="shared" si="6"/>
        <v>1.8926000004285015E-2</v>
      </c>
      <c r="O34">
        <f t="shared" ca="1" si="4"/>
        <v>-5.2627129814937355E-2</v>
      </c>
      <c r="Q34" s="2">
        <f t="shared" si="5"/>
        <v>18236.800999999999</v>
      </c>
    </row>
    <row r="35" spans="1:21" x14ac:dyDescent="0.2">
      <c r="A35" s="43" t="s">
        <v>109</v>
      </c>
      <c r="B35" s="44" t="s">
        <v>187</v>
      </c>
      <c r="C35" s="43">
        <v>33256.993000000002</v>
      </c>
      <c r="D35" s="43" t="s">
        <v>50</v>
      </c>
      <c r="E35">
        <f t="shared" si="0"/>
        <v>302.48557749751984</v>
      </c>
      <c r="F35">
        <f t="shared" si="1"/>
        <v>302.5</v>
      </c>
      <c r="G35">
        <f t="shared" si="2"/>
        <v>-5.0817499999538995E-2</v>
      </c>
      <c r="I35">
        <f t="shared" si="6"/>
        <v>-5.0817499999538995E-2</v>
      </c>
      <c r="O35">
        <f t="shared" ca="1" si="4"/>
        <v>-5.2629134071005793E-2</v>
      </c>
      <c r="Q35" s="2">
        <f t="shared" si="5"/>
        <v>18238.493000000002</v>
      </c>
    </row>
    <row r="36" spans="1:21" x14ac:dyDescent="0.2">
      <c r="A36" s="43" t="s">
        <v>109</v>
      </c>
      <c r="B36" s="44" t="s">
        <v>186</v>
      </c>
      <c r="C36" s="43">
        <v>35372.877999999997</v>
      </c>
      <c r="D36" s="43" t="s">
        <v>50</v>
      </c>
      <c r="E36">
        <f t="shared" si="0"/>
        <v>902.99439163533134</v>
      </c>
      <c r="F36">
        <f t="shared" si="1"/>
        <v>903</v>
      </c>
      <c r="G36">
        <f t="shared" si="2"/>
        <v>-1.9761000003200024E-2</v>
      </c>
      <c r="I36">
        <f t="shared" si="6"/>
        <v>-1.9761000003200024E-2</v>
      </c>
      <c r="O36">
        <f t="shared" ca="1" si="4"/>
        <v>-5.503624560919796E-2</v>
      </c>
      <c r="Q36" s="2">
        <f t="shared" si="5"/>
        <v>20354.377999999997</v>
      </c>
    </row>
    <row r="37" spans="1:21" x14ac:dyDescent="0.2">
      <c r="A37" s="43" t="s">
        <v>109</v>
      </c>
      <c r="B37" s="44" t="s">
        <v>187</v>
      </c>
      <c r="C37" s="43">
        <v>35374.552000000003</v>
      </c>
      <c r="D37" s="43" t="s">
        <v>50</v>
      </c>
      <c r="E37">
        <f t="shared" si="0"/>
        <v>903.46948917365239</v>
      </c>
      <c r="F37">
        <f t="shared" si="1"/>
        <v>903.5</v>
      </c>
      <c r="G37">
        <f t="shared" si="2"/>
        <v>-0.1075044999961392</v>
      </c>
      <c r="I37">
        <f t="shared" si="6"/>
        <v>-0.1075044999961392</v>
      </c>
      <c r="O37">
        <f t="shared" ca="1" si="4"/>
        <v>-5.5038249865266391E-2</v>
      </c>
      <c r="Q37" s="2">
        <f t="shared" si="5"/>
        <v>20356.052000000003</v>
      </c>
    </row>
    <row r="38" spans="1:21" x14ac:dyDescent="0.2">
      <c r="A38" s="43" t="s">
        <v>124</v>
      </c>
      <c r="B38" s="44" t="s">
        <v>186</v>
      </c>
      <c r="C38" s="43">
        <v>35386.987000000001</v>
      </c>
      <c r="D38" s="43" t="s">
        <v>50</v>
      </c>
      <c r="E38">
        <f t="shared" si="0"/>
        <v>906.99866353984066</v>
      </c>
      <c r="F38">
        <f t="shared" si="1"/>
        <v>907</v>
      </c>
      <c r="G38">
        <f t="shared" si="2"/>
        <v>-4.7090000007301569E-3</v>
      </c>
      <c r="I38">
        <f t="shared" si="6"/>
        <v>-4.7090000007301569E-3</v>
      </c>
      <c r="O38">
        <f t="shared" ca="1" si="4"/>
        <v>-5.5052279657745451E-2</v>
      </c>
      <c r="Q38" s="2">
        <f t="shared" si="5"/>
        <v>20368.487000000001</v>
      </c>
    </row>
    <row r="39" spans="1:21" x14ac:dyDescent="0.2">
      <c r="A39" s="43" t="s">
        <v>124</v>
      </c>
      <c r="B39" s="44" t="s">
        <v>186</v>
      </c>
      <c r="C39" s="43">
        <v>35394.000999999997</v>
      </c>
      <c r="D39" s="43" t="s">
        <v>50</v>
      </c>
      <c r="E39">
        <f t="shared" si="0"/>
        <v>908.98930519681164</v>
      </c>
      <c r="F39">
        <f t="shared" si="1"/>
        <v>909</v>
      </c>
      <c r="G39">
        <f t="shared" si="2"/>
        <v>-3.7683000002289191E-2</v>
      </c>
      <c r="I39">
        <f t="shared" si="6"/>
        <v>-3.7683000002289191E-2</v>
      </c>
      <c r="O39">
        <f t="shared" ca="1" si="4"/>
        <v>-5.5060296682019193E-2</v>
      </c>
      <c r="Q39" s="2">
        <f t="shared" si="5"/>
        <v>20375.500999999997</v>
      </c>
    </row>
    <row r="40" spans="1:21" x14ac:dyDescent="0.2">
      <c r="A40" s="43" t="s">
        <v>109</v>
      </c>
      <c r="B40" s="44" t="s">
        <v>186</v>
      </c>
      <c r="C40" s="43">
        <v>35411.616999999998</v>
      </c>
      <c r="D40" s="43" t="s">
        <v>50</v>
      </c>
      <c r="E40">
        <f t="shared" si="0"/>
        <v>913.98889792980651</v>
      </c>
      <c r="F40">
        <f t="shared" si="1"/>
        <v>914</v>
      </c>
      <c r="G40">
        <f t="shared" si="2"/>
        <v>-3.911800000059884E-2</v>
      </c>
      <c r="I40">
        <f t="shared" si="6"/>
        <v>-3.911800000059884E-2</v>
      </c>
      <c r="O40">
        <f t="shared" ca="1" si="4"/>
        <v>-5.5080339242703558E-2</v>
      </c>
      <c r="Q40" s="2">
        <f t="shared" si="5"/>
        <v>20393.116999999998</v>
      </c>
    </row>
    <row r="41" spans="1:21" x14ac:dyDescent="0.2">
      <c r="A41" s="43" t="s">
        <v>109</v>
      </c>
      <c r="B41" s="44" t="s">
        <v>187</v>
      </c>
      <c r="C41" s="43">
        <v>35786.775999999998</v>
      </c>
      <c r="D41" s="43" t="s">
        <v>50</v>
      </c>
      <c r="E41">
        <f t="shared" si="0"/>
        <v>1020.4626836994147</v>
      </c>
      <c r="F41">
        <f t="shared" si="1"/>
        <v>1020.5</v>
      </c>
      <c r="G41">
        <f t="shared" si="2"/>
        <v>-0.13148350000119535</v>
      </c>
      <c r="I41">
        <f t="shared" si="6"/>
        <v>-0.13148350000119535</v>
      </c>
      <c r="O41">
        <f t="shared" ca="1" si="4"/>
        <v>-5.5507245785280518E-2</v>
      </c>
      <c r="Q41" s="2">
        <f t="shared" si="5"/>
        <v>20768.275999999998</v>
      </c>
    </row>
    <row r="42" spans="1:21" x14ac:dyDescent="0.2">
      <c r="A42" s="43" t="s">
        <v>109</v>
      </c>
      <c r="B42" s="44" t="s">
        <v>186</v>
      </c>
      <c r="C42" s="43">
        <v>35795.656000000003</v>
      </c>
      <c r="D42" s="43" t="s">
        <v>50</v>
      </c>
      <c r="E42">
        <f t="shared" si="0"/>
        <v>1022.9829143686367</v>
      </c>
      <c r="F42">
        <f t="shared" si="1"/>
        <v>1023</v>
      </c>
      <c r="G42">
        <f t="shared" si="2"/>
        <v>-6.0200999992957804E-2</v>
      </c>
      <c r="I42">
        <f t="shared" si="6"/>
        <v>-6.0200999992957804E-2</v>
      </c>
      <c r="O42">
        <f t="shared" ca="1" si="4"/>
        <v>-5.5517267065622704E-2</v>
      </c>
      <c r="Q42" s="2">
        <f t="shared" si="5"/>
        <v>20777.156000000003</v>
      </c>
    </row>
    <row r="43" spans="1:21" x14ac:dyDescent="0.2">
      <c r="A43" s="43" t="s">
        <v>141</v>
      </c>
      <c r="B43" s="44" t="s">
        <v>186</v>
      </c>
      <c r="C43" s="43">
        <v>35815.915000000001</v>
      </c>
      <c r="D43" s="43" t="s">
        <v>50</v>
      </c>
      <c r="E43">
        <f t="shared" si="0"/>
        <v>1028.7326162974357</v>
      </c>
      <c r="F43">
        <f t="shared" si="1"/>
        <v>1028.5</v>
      </c>
      <c r="O43">
        <f t="shared" ca="1" si="4"/>
        <v>-5.5539313882375506E-2</v>
      </c>
      <c r="Q43" s="2">
        <f t="shared" si="5"/>
        <v>20797.415000000001</v>
      </c>
      <c r="U43">
        <f>+C43-(C$7+F43*C$8)</f>
        <v>0.81962050000583986</v>
      </c>
    </row>
    <row r="44" spans="1:21" x14ac:dyDescent="0.2">
      <c r="A44" s="43" t="s">
        <v>146</v>
      </c>
      <c r="B44" s="44" t="s">
        <v>186</v>
      </c>
      <c r="C44" s="43">
        <v>35893.411</v>
      </c>
      <c r="D44" s="43" t="s">
        <v>50</v>
      </c>
      <c r="E44">
        <f t="shared" si="0"/>
        <v>1050.7267374620658</v>
      </c>
      <c r="F44">
        <f t="shared" si="1"/>
        <v>1050.5</v>
      </c>
      <c r="O44">
        <f t="shared" ca="1" si="4"/>
        <v>-5.5627501149386707E-2</v>
      </c>
      <c r="Q44" s="2">
        <f t="shared" si="5"/>
        <v>20874.911</v>
      </c>
      <c r="U44">
        <f>+C44-(C$7+F44*C$8)</f>
        <v>0.79890650000015739</v>
      </c>
    </row>
    <row r="45" spans="1:21" x14ac:dyDescent="0.2">
      <c r="A45" s="43" t="s">
        <v>150</v>
      </c>
      <c r="B45" s="44" t="s">
        <v>187</v>
      </c>
      <c r="C45" s="43">
        <v>36096.843000000001</v>
      </c>
      <c r="D45" s="43" t="s">
        <v>50</v>
      </c>
      <c r="E45">
        <f t="shared" si="0"/>
        <v>1108.462724568021</v>
      </c>
      <c r="F45">
        <f t="shared" si="1"/>
        <v>1108.5</v>
      </c>
      <c r="G45">
        <f t="shared" ref="G45:G56" si="7">+C45-(C$7+F45*C$8)</f>
        <v>-0.13133949999610195</v>
      </c>
      <c r="I45">
        <f t="shared" ref="I45:I56" si="8">+G45</f>
        <v>-0.13133949999610195</v>
      </c>
      <c r="O45">
        <f t="shared" ca="1" si="4"/>
        <v>-5.5859994853325337E-2</v>
      </c>
      <c r="Q45" s="2">
        <f t="shared" si="5"/>
        <v>21078.343000000001</v>
      </c>
    </row>
    <row r="46" spans="1:21" x14ac:dyDescent="0.2">
      <c r="A46" s="43" t="s">
        <v>150</v>
      </c>
      <c r="B46" s="44" t="s">
        <v>186</v>
      </c>
      <c r="C46" s="43">
        <v>36151.538999999997</v>
      </c>
      <c r="D46" s="43" t="s">
        <v>50</v>
      </c>
      <c r="E46">
        <f t="shared" si="0"/>
        <v>1123.9859832035704</v>
      </c>
      <c r="F46">
        <f t="shared" si="1"/>
        <v>1124</v>
      </c>
      <c r="G46">
        <f t="shared" si="7"/>
        <v>-4.9387999999453314E-2</v>
      </c>
      <c r="I46">
        <f t="shared" si="8"/>
        <v>-4.9387999999453314E-2</v>
      </c>
      <c r="O46">
        <f t="shared" ca="1" si="4"/>
        <v>-5.5922126791446862E-2</v>
      </c>
      <c r="Q46" s="2">
        <f t="shared" si="5"/>
        <v>21133.038999999997</v>
      </c>
    </row>
    <row r="47" spans="1:21" x14ac:dyDescent="0.2">
      <c r="A47" s="43" t="s">
        <v>158</v>
      </c>
      <c r="B47" s="44" t="s">
        <v>186</v>
      </c>
      <c r="C47" s="43">
        <v>37141.550000000003</v>
      </c>
      <c r="D47" s="43" t="s">
        <v>50</v>
      </c>
      <c r="E47">
        <f t="shared" si="0"/>
        <v>1404.9607675578211</v>
      </c>
      <c r="F47">
        <f t="shared" si="1"/>
        <v>1405</v>
      </c>
      <c r="G47">
        <f t="shared" si="7"/>
        <v>-0.13823499999125488</v>
      </c>
      <c r="I47">
        <f t="shared" si="8"/>
        <v>-0.13823499999125488</v>
      </c>
      <c r="O47">
        <f t="shared" ca="1" si="4"/>
        <v>-5.7048518701908149E-2</v>
      </c>
      <c r="Q47" s="2">
        <f t="shared" si="5"/>
        <v>22123.050000000003</v>
      </c>
    </row>
    <row r="48" spans="1:21" x14ac:dyDescent="0.2">
      <c r="A48" s="43" t="s">
        <v>150</v>
      </c>
      <c r="B48" s="44" t="s">
        <v>186</v>
      </c>
      <c r="C48" s="43">
        <v>40030.945</v>
      </c>
      <c r="D48" s="43" t="s">
        <v>50</v>
      </c>
      <c r="E48">
        <f t="shared" si="0"/>
        <v>2224.9992691898683</v>
      </c>
      <c r="F48">
        <f t="shared" si="1"/>
        <v>2225</v>
      </c>
      <c r="G48">
        <f t="shared" si="7"/>
        <v>-2.5749999986146577E-3</v>
      </c>
      <c r="I48">
        <f t="shared" si="8"/>
        <v>-2.5749999986146577E-3</v>
      </c>
      <c r="O48">
        <f t="shared" ca="1" si="4"/>
        <v>-6.0335498654143914E-2</v>
      </c>
      <c r="Q48" s="2">
        <f t="shared" si="5"/>
        <v>25012.445</v>
      </c>
    </row>
    <row r="49" spans="1:17" x14ac:dyDescent="0.2">
      <c r="A49" s="43" t="s">
        <v>150</v>
      </c>
      <c r="B49" s="44" t="s">
        <v>187</v>
      </c>
      <c r="C49" s="43">
        <v>40071.353000000003</v>
      </c>
      <c r="D49" s="43" t="s">
        <v>50</v>
      </c>
      <c r="E49">
        <f t="shared" si="0"/>
        <v>2236.467453973863</v>
      </c>
      <c r="F49">
        <f t="shared" si="1"/>
        <v>2236.5</v>
      </c>
      <c r="G49">
        <f t="shared" si="7"/>
        <v>-0.11467549999360926</v>
      </c>
      <c r="I49">
        <f t="shared" si="8"/>
        <v>-0.11467549999360926</v>
      </c>
      <c r="O49">
        <f t="shared" ca="1" si="4"/>
        <v>-6.0381596543717948E-2</v>
      </c>
      <c r="Q49" s="2">
        <f t="shared" si="5"/>
        <v>25052.853000000003</v>
      </c>
    </row>
    <row r="50" spans="1:17" x14ac:dyDescent="0.2">
      <c r="A50" s="43" t="s">
        <v>150</v>
      </c>
      <c r="B50" s="44" t="s">
        <v>186</v>
      </c>
      <c r="C50" s="43">
        <v>40252.921000000002</v>
      </c>
      <c r="D50" s="43" t="s">
        <v>50</v>
      </c>
      <c r="E50">
        <f t="shared" si="0"/>
        <v>2287.9982244861421</v>
      </c>
      <c r="F50">
        <f t="shared" si="1"/>
        <v>2288</v>
      </c>
      <c r="G50">
        <f t="shared" si="7"/>
        <v>-6.2559999933000654E-3</v>
      </c>
      <c r="I50">
        <f t="shared" si="8"/>
        <v>-6.2559999933000654E-3</v>
      </c>
      <c r="O50">
        <f t="shared" ca="1" si="4"/>
        <v>-6.0588034918766902E-2</v>
      </c>
      <c r="Q50" s="2">
        <f t="shared" si="5"/>
        <v>25234.421000000002</v>
      </c>
    </row>
    <row r="51" spans="1:17" x14ac:dyDescent="0.2">
      <c r="A51" s="43" t="s">
        <v>150</v>
      </c>
      <c r="B51" s="44" t="s">
        <v>187</v>
      </c>
      <c r="C51" s="43">
        <v>40307.423999999999</v>
      </c>
      <c r="D51" s="43" t="s">
        <v>50</v>
      </c>
      <c r="E51">
        <f t="shared" si="0"/>
        <v>2303.466707838003</v>
      </c>
      <c r="F51">
        <f t="shared" si="1"/>
        <v>2303.5</v>
      </c>
      <c r="G51">
        <f t="shared" si="7"/>
        <v>-0.11730449999595294</v>
      </c>
      <c r="I51">
        <f t="shared" si="8"/>
        <v>-0.11730449999595294</v>
      </c>
      <c r="O51">
        <f t="shared" ca="1" si="4"/>
        <v>-6.0650166856888434E-2</v>
      </c>
      <c r="Q51" s="2">
        <f t="shared" si="5"/>
        <v>25288.923999999999</v>
      </c>
    </row>
    <row r="52" spans="1:17" x14ac:dyDescent="0.2">
      <c r="A52" s="43" t="s">
        <v>150</v>
      </c>
      <c r="B52" s="44" t="s">
        <v>187</v>
      </c>
      <c r="C52" s="43">
        <v>40606.93</v>
      </c>
      <c r="D52" s="43" t="s">
        <v>50</v>
      </c>
      <c r="E52">
        <f t="shared" si="0"/>
        <v>2388.4694338307486</v>
      </c>
      <c r="F52">
        <f t="shared" si="1"/>
        <v>2388.5</v>
      </c>
      <c r="G52">
        <f t="shared" si="7"/>
        <v>-0.10769949999667006</v>
      </c>
      <c r="I52">
        <f t="shared" si="8"/>
        <v>-0.10769949999667006</v>
      </c>
      <c r="O52">
        <f t="shared" ca="1" si="4"/>
        <v>-6.099089038852263E-2</v>
      </c>
      <c r="Q52" s="2">
        <f t="shared" si="5"/>
        <v>25588.43</v>
      </c>
    </row>
    <row r="53" spans="1:17" x14ac:dyDescent="0.2">
      <c r="A53" s="43" t="s">
        <v>150</v>
      </c>
      <c r="B53" s="44" t="s">
        <v>186</v>
      </c>
      <c r="C53" s="43">
        <v>40629.913</v>
      </c>
      <c r="D53" s="43" t="s">
        <v>50</v>
      </c>
      <c r="E53">
        <f t="shared" si="0"/>
        <v>2394.9922335459169</v>
      </c>
      <c r="F53">
        <f t="shared" si="1"/>
        <v>2395</v>
      </c>
      <c r="G53">
        <f t="shared" si="7"/>
        <v>-2.7365000001736917E-2</v>
      </c>
      <c r="I53">
        <f t="shared" si="8"/>
        <v>-2.7365000001736917E-2</v>
      </c>
      <c r="O53">
        <f t="shared" ca="1" si="4"/>
        <v>-6.1016945717412299E-2</v>
      </c>
      <c r="Q53" s="2">
        <f t="shared" si="5"/>
        <v>25611.413</v>
      </c>
    </row>
    <row r="54" spans="1:17" x14ac:dyDescent="0.2">
      <c r="A54" s="9" t="s">
        <v>28</v>
      </c>
      <c r="B54" s="10"/>
      <c r="C54" s="9">
        <v>40855.401599999997</v>
      </c>
      <c r="D54" s="9">
        <v>6.9999999999999999E-4</v>
      </c>
      <c r="E54">
        <f t="shared" si="0"/>
        <v>2458.9880990053316</v>
      </c>
      <c r="F54">
        <f t="shared" si="1"/>
        <v>2459</v>
      </c>
      <c r="G54">
        <f t="shared" si="7"/>
        <v>-4.1933000000426546E-2</v>
      </c>
      <c r="I54">
        <f t="shared" si="8"/>
        <v>-4.1933000000426546E-2</v>
      </c>
      <c r="O54">
        <f t="shared" ca="1" si="4"/>
        <v>-6.1273490494172168E-2</v>
      </c>
      <c r="Q54" s="2">
        <f t="shared" si="5"/>
        <v>25836.901599999997</v>
      </c>
    </row>
    <row r="55" spans="1:17" x14ac:dyDescent="0.2">
      <c r="A55" s="43" t="s">
        <v>180</v>
      </c>
      <c r="B55" s="44" t="s">
        <v>186</v>
      </c>
      <c r="C55" s="43">
        <v>40855.402000000002</v>
      </c>
      <c r="D55" s="43" t="s">
        <v>50</v>
      </c>
      <c r="E55">
        <f t="shared" si="0"/>
        <v>2458.988212529237</v>
      </c>
      <c r="F55">
        <f t="shared" si="1"/>
        <v>2459</v>
      </c>
      <c r="G55">
        <f t="shared" si="7"/>
        <v>-4.153299999597948E-2</v>
      </c>
      <c r="I55">
        <f t="shared" si="8"/>
        <v>-4.153299999597948E-2</v>
      </c>
      <c r="O55">
        <f t="shared" ca="1" si="4"/>
        <v>-6.1273490494172168E-2</v>
      </c>
      <c r="Q55" s="2">
        <f t="shared" si="5"/>
        <v>25836.902000000002</v>
      </c>
    </row>
    <row r="56" spans="1:17" x14ac:dyDescent="0.2">
      <c r="A56" s="43" t="s">
        <v>185</v>
      </c>
      <c r="B56" s="44" t="s">
        <v>186</v>
      </c>
      <c r="C56" s="43">
        <v>45295.071000000004</v>
      </c>
      <c r="D56" s="43" t="s">
        <v>50</v>
      </c>
      <c r="E56">
        <f t="shared" si="0"/>
        <v>3719.0096061089498</v>
      </c>
      <c r="F56">
        <f t="shared" si="1"/>
        <v>3719</v>
      </c>
      <c r="G56">
        <f t="shared" si="7"/>
        <v>3.3847000006062444E-2</v>
      </c>
      <c r="I56">
        <f t="shared" si="8"/>
        <v>3.3847000006062444E-2</v>
      </c>
      <c r="O56">
        <f t="shared" ca="1" si="4"/>
        <v>-6.6324215786632001E-2</v>
      </c>
      <c r="Q56" s="2">
        <f t="shared" si="5"/>
        <v>30276.571000000004</v>
      </c>
    </row>
    <row r="57" spans="1:17" x14ac:dyDescent="0.2">
      <c r="B57" s="16"/>
      <c r="C57" s="12"/>
      <c r="D57" s="12"/>
    </row>
    <row r="58" spans="1:17" x14ac:dyDescent="0.2">
      <c r="B58" s="16"/>
      <c r="C58" s="12"/>
      <c r="D58" s="12"/>
    </row>
    <row r="59" spans="1:17" x14ac:dyDescent="0.2">
      <c r="B59" s="16"/>
      <c r="C59" s="12"/>
      <c r="D59" s="12"/>
    </row>
    <row r="60" spans="1:17" x14ac:dyDescent="0.2">
      <c r="B60" s="16"/>
      <c r="C60" s="12"/>
      <c r="D60" s="12"/>
    </row>
    <row r="61" spans="1:17" x14ac:dyDescent="0.2">
      <c r="B61" s="16"/>
      <c r="C61" s="12"/>
      <c r="D61" s="12"/>
    </row>
    <row r="62" spans="1:17" x14ac:dyDescent="0.2">
      <c r="B62" s="16"/>
    </row>
    <row r="63" spans="1:17" x14ac:dyDescent="0.2">
      <c r="B63" s="16"/>
    </row>
    <row r="64" spans="1:17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3"/>
  <sheetViews>
    <sheetView workbookViewId="0">
      <selection activeCell="A12" sqref="A12:D45"/>
    </sheetView>
  </sheetViews>
  <sheetFormatPr defaultRowHeight="12.75" x14ac:dyDescent="0.2"/>
  <cols>
    <col min="1" max="1" width="19.7109375" style="12" customWidth="1"/>
    <col min="2" max="2" width="4.42578125" style="11" customWidth="1"/>
    <col min="3" max="3" width="12.7109375" style="12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2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0" t="s">
        <v>40</v>
      </c>
      <c r="I1" s="31" t="s">
        <v>41</v>
      </c>
      <c r="J1" s="32" t="s">
        <v>42</v>
      </c>
    </row>
    <row r="2" spans="1:16" x14ac:dyDescent="0.2">
      <c r="I2" s="33" t="s">
        <v>43</v>
      </c>
      <c r="J2" s="34" t="s">
        <v>44</v>
      </c>
    </row>
    <row r="3" spans="1:16" x14ac:dyDescent="0.2">
      <c r="A3" s="35" t="s">
        <v>45</v>
      </c>
      <c r="I3" s="33" t="s">
        <v>46</v>
      </c>
      <c r="J3" s="34" t="s">
        <v>47</v>
      </c>
    </row>
    <row r="4" spans="1:16" x14ac:dyDescent="0.2">
      <c r="I4" s="33" t="s">
        <v>48</v>
      </c>
      <c r="J4" s="34" t="s">
        <v>47</v>
      </c>
    </row>
    <row r="5" spans="1:16" ht="13.5" thickBot="1" x14ac:dyDescent="0.25">
      <c r="I5" s="36" t="s">
        <v>49</v>
      </c>
      <c r="J5" s="37" t="s">
        <v>50</v>
      </c>
    </row>
    <row r="10" spans="1:16" ht="13.5" thickBot="1" x14ac:dyDescent="0.25"/>
    <row r="11" spans="1:16" ht="12.75" customHeight="1" thickBot="1" x14ac:dyDescent="0.25">
      <c r="A11" s="12" t="str">
        <f t="shared" ref="A11:A45" si="0">P11</f>
        <v> APJ 108.28 </v>
      </c>
      <c r="B11" s="16" t="str">
        <f t="shared" ref="B11:B45" si="1">IF(H11=INT(H11),"I","II")</f>
        <v>I</v>
      </c>
      <c r="C11" s="12">
        <f t="shared" ref="C11:C45" si="2">1*G11</f>
        <v>32191.188999999998</v>
      </c>
      <c r="D11" s="11" t="str">
        <f t="shared" ref="D11:D45" si="3">VLOOKUP(F11,I$1:J$5,2,FALSE)</f>
        <v>vis</v>
      </c>
      <c r="E11" s="38" t="e">
        <f>VLOOKUP(C11,Active!C$21:E$973,3,FALSE)</f>
        <v>#N/A</v>
      </c>
      <c r="F11" s="16" t="s">
        <v>49</v>
      </c>
      <c r="G11" s="11" t="str">
        <f t="shared" ref="G11:G45" si="4">MID(I11,3,LEN(I11)-3)</f>
        <v>32191.189</v>
      </c>
      <c r="H11" s="12">
        <f t="shared" ref="H11:H45" si="5">1*K11</f>
        <v>0</v>
      </c>
      <c r="I11" s="39" t="s">
        <v>86</v>
      </c>
      <c r="J11" s="40" t="s">
        <v>87</v>
      </c>
      <c r="K11" s="39">
        <v>0</v>
      </c>
      <c r="L11" s="39" t="s">
        <v>88</v>
      </c>
      <c r="M11" s="40" t="s">
        <v>55</v>
      </c>
      <c r="N11" s="40" t="s">
        <v>56</v>
      </c>
      <c r="O11" s="41" t="s">
        <v>89</v>
      </c>
      <c r="P11" s="41" t="s">
        <v>90</v>
      </c>
    </row>
    <row r="12" spans="1:16" ht="12.75" customHeight="1" thickBot="1" x14ac:dyDescent="0.25">
      <c r="A12" s="12" t="str">
        <f t="shared" si="0"/>
        <v> AN 211.391 </v>
      </c>
      <c r="B12" s="16" t="str">
        <f t="shared" si="1"/>
        <v>I</v>
      </c>
      <c r="C12" s="12">
        <f t="shared" si="2"/>
        <v>22212.674999999999</v>
      </c>
      <c r="D12" s="11" t="str">
        <f t="shared" si="3"/>
        <v>vis</v>
      </c>
      <c r="E12" s="38">
        <f>VLOOKUP(C12,Active!C$21:E$973,3,FALSE)</f>
        <v>-2831.999663969244</v>
      </c>
      <c r="F12" s="16" t="s">
        <v>49</v>
      </c>
      <c r="G12" s="11" t="str">
        <f t="shared" si="4"/>
        <v>22212.675</v>
      </c>
      <c r="H12" s="12">
        <f t="shared" si="5"/>
        <v>-2832</v>
      </c>
      <c r="I12" s="39" t="s">
        <v>52</v>
      </c>
      <c r="J12" s="40" t="s">
        <v>53</v>
      </c>
      <c r="K12" s="39">
        <v>-2832</v>
      </c>
      <c r="L12" s="39" t="s">
        <v>54</v>
      </c>
      <c r="M12" s="40" t="s">
        <v>55</v>
      </c>
      <c r="N12" s="40" t="s">
        <v>56</v>
      </c>
      <c r="O12" s="41" t="s">
        <v>57</v>
      </c>
      <c r="P12" s="41" t="s">
        <v>58</v>
      </c>
    </row>
    <row r="13" spans="1:16" ht="12.75" customHeight="1" thickBot="1" x14ac:dyDescent="0.25">
      <c r="A13" s="12" t="str">
        <f t="shared" si="0"/>
        <v> AN 237.321 </v>
      </c>
      <c r="B13" s="16" t="str">
        <f t="shared" si="1"/>
        <v>I</v>
      </c>
      <c r="C13" s="12">
        <f t="shared" si="2"/>
        <v>22300.757000000001</v>
      </c>
      <c r="D13" s="11" t="str">
        <f t="shared" si="3"/>
        <v>vis</v>
      </c>
      <c r="E13" s="38">
        <f>VLOOKUP(C13,Active!C$21:E$973,3,FALSE)</f>
        <v>-2807.0011326847516</v>
      </c>
      <c r="F13" s="16" t="s">
        <v>49</v>
      </c>
      <c r="G13" s="11" t="str">
        <f t="shared" si="4"/>
        <v>22300.757</v>
      </c>
      <c r="H13" s="12">
        <f t="shared" si="5"/>
        <v>-2807</v>
      </c>
      <c r="I13" s="39" t="s">
        <v>59</v>
      </c>
      <c r="J13" s="40" t="s">
        <v>60</v>
      </c>
      <c r="K13" s="39">
        <v>-2807</v>
      </c>
      <c r="L13" s="39" t="s">
        <v>61</v>
      </c>
      <c r="M13" s="40" t="s">
        <v>55</v>
      </c>
      <c r="N13" s="40" t="s">
        <v>56</v>
      </c>
      <c r="O13" s="41" t="s">
        <v>62</v>
      </c>
      <c r="P13" s="41" t="s">
        <v>63</v>
      </c>
    </row>
    <row r="14" spans="1:16" ht="12.75" customHeight="1" thickBot="1" x14ac:dyDescent="0.25">
      <c r="A14" s="12" t="str">
        <f t="shared" si="0"/>
        <v> AN 211.391 </v>
      </c>
      <c r="B14" s="16" t="str">
        <f t="shared" si="1"/>
        <v>II</v>
      </c>
      <c r="C14" s="12">
        <f t="shared" si="2"/>
        <v>22348.32</v>
      </c>
      <c r="D14" s="11" t="str">
        <f t="shared" si="3"/>
        <v>vis</v>
      </c>
      <c r="E14" s="38">
        <f>VLOOKUP(C14,Active!C$21:E$973,3,FALSE)</f>
        <v>-2793.5022890676196</v>
      </c>
      <c r="F14" s="16" t="s">
        <v>49</v>
      </c>
      <c r="G14" s="11" t="str">
        <f t="shared" si="4"/>
        <v>22348.320</v>
      </c>
      <c r="H14" s="12">
        <f t="shared" si="5"/>
        <v>-2793.5</v>
      </c>
      <c r="I14" s="39" t="s">
        <v>64</v>
      </c>
      <c r="J14" s="40" t="s">
        <v>65</v>
      </c>
      <c r="K14" s="39">
        <v>-2793.5</v>
      </c>
      <c r="L14" s="39" t="s">
        <v>66</v>
      </c>
      <c r="M14" s="40" t="s">
        <v>55</v>
      </c>
      <c r="N14" s="40" t="s">
        <v>56</v>
      </c>
      <c r="O14" s="41" t="s">
        <v>57</v>
      </c>
      <c r="P14" s="41" t="s">
        <v>58</v>
      </c>
    </row>
    <row r="15" spans="1:16" ht="12.75" customHeight="1" thickBot="1" x14ac:dyDescent="0.25">
      <c r="A15" s="12" t="str">
        <f t="shared" si="0"/>
        <v> AN 215.395 </v>
      </c>
      <c r="B15" s="16" t="str">
        <f t="shared" si="1"/>
        <v>I</v>
      </c>
      <c r="C15" s="12">
        <f t="shared" si="2"/>
        <v>22987.822</v>
      </c>
      <c r="D15" s="11" t="str">
        <f t="shared" si="3"/>
        <v>vis</v>
      </c>
      <c r="E15" s="38">
        <f>VLOOKUP(C15,Active!C$21:E$973,3,FALSE)</f>
        <v>-2612.0053798978111</v>
      </c>
      <c r="F15" s="16" t="s">
        <v>49</v>
      </c>
      <c r="G15" s="11" t="str">
        <f t="shared" si="4"/>
        <v>22987.822</v>
      </c>
      <c r="H15" s="12">
        <f t="shared" si="5"/>
        <v>-2612</v>
      </c>
      <c r="I15" s="39" t="s">
        <v>67</v>
      </c>
      <c r="J15" s="40" t="s">
        <v>68</v>
      </c>
      <c r="K15" s="39">
        <v>-2612</v>
      </c>
      <c r="L15" s="39" t="s">
        <v>69</v>
      </c>
      <c r="M15" s="40" t="s">
        <v>55</v>
      </c>
      <c r="N15" s="40" t="s">
        <v>56</v>
      </c>
      <c r="O15" s="41" t="s">
        <v>70</v>
      </c>
      <c r="P15" s="41" t="s">
        <v>71</v>
      </c>
    </row>
    <row r="16" spans="1:16" ht="12.75" customHeight="1" thickBot="1" x14ac:dyDescent="0.25">
      <c r="A16" s="12" t="str">
        <f t="shared" si="0"/>
        <v> AN 237.321 </v>
      </c>
      <c r="B16" s="16" t="str">
        <f t="shared" si="1"/>
        <v>I</v>
      </c>
      <c r="C16" s="12">
        <f t="shared" si="2"/>
        <v>24770.667000000001</v>
      </c>
      <c r="D16" s="11" t="str">
        <f t="shared" si="3"/>
        <v>vis</v>
      </c>
      <c r="E16" s="38">
        <f>VLOOKUP(C16,Active!C$21:E$973,3,FALSE)</f>
        <v>-2106.0165682461716</v>
      </c>
      <c r="F16" s="16" t="s">
        <v>49</v>
      </c>
      <c r="G16" s="11" t="str">
        <f t="shared" si="4"/>
        <v>24770.667</v>
      </c>
      <c r="H16" s="12">
        <f t="shared" si="5"/>
        <v>-2106</v>
      </c>
      <c r="I16" s="39" t="s">
        <v>72</v>
      </c>
      <c r="J16" s="40" t="s">
        <v>73</v>
      </c>
      <c r="K16" s="39">
        <v>-2106</v>
      </c>
      <c r="L16" s="39" t="s">
        <v>74</v>
      </c>
      <c r="M16" s="40" t="s">
        <v>55</v>
      </c>
      <c r="N16" s="40" t="s">
        <v>56</v>
      </c>
      <c r="O16" s="41" t="s">
        <v>62</v>
      </c>
      <c r="P16" s="41" t="s">
        <v>63</v>
      </c>
    </row>
    <row r="17" spans="1:16" ht="12.75" customHeight="1" thickBot="1" x14ac:dyDescent="0.25">
      <c r="A17" s="12" t="str">
        <f t="shared" si="0"/>
        <v> AJ 47.104 </v>
      </c>
      <c r="B17" s="16" t="str">
        <f t="shared" si="1"/>
        <v>I</v>
      </c>
      <c r="C17" s="12">
        <f t="shared" si="2"/>
        <v>27399.159</v>
      </c>
      <c r="D17" s="11" t="str">
        <f t="shared" si="3"/>
        <v>vis</v>
      </c>
      <c r="E17" s="38">
        <f>VLOOKUP(C17,Active!C$21:E$973,3,FALSE)</f>
        <v>-1360.0248844397606</v>
      </c>
      <c r="F17" s="16" t="s">
        <v>49</v>
      </c>
      <c r="G17" s="11" t="str">
        <f t="shared" si="4"/>
        <v>27399.159</v>
      </c>
      <c r="H17" s="12">
        <f t="shared" si="5"/>
        <v>-1360</v>
      </c>
      <c r="I17" s="39" t="s">
        <v>75</v>
      </c>
      <c r="J17" s="40" t="s">
        <v>76</v>
      </c>
      <c r="K17" s="39">
        <v>-1360</v>
      </c>
      <c r="L17" s="39" t="s">
        <v>77</v>
      </c>
      <c r="M17" s="40" t="s">
        <v>55</v>
      </c>
      <c r="N17" s="40" t="s">
        <v>56</v>
      </c>
      <c r="O17" s="41" t="s">
        <v>78</v>
      </c>
      <c r="P17" s="41" t="s">
        <v>79</v>
      </c>
    </row>
    <row r="18" spans="1:16" ht="12.75" customHeight="1" thickBot="1" x14ac:dyDescent="0.25">
      <c r="A18" s="12" t="str">
        <f t="shared" si="0"/>
        <v> AJ 47.104 </v>
      </c>
      <c r="B18" s="16" t="str">
        <f t="shared" si="1"/>
        <v>II</v>
      </c>
      <c r="C18" s="12">
        <f t="shared" si="2"/>
        <v>27418.536</v>
      </c>
      <c r="D18" s="11" t="str">
        <f t="shared" si="3"/>
        <v>vis</v>
      </c>
      <c r="E18" s="38">
        <f>VLOOKUP(C18,Active!C$21:E$973,3,FALSE)</f>
        <v>-1354.5255027193227</v>
      </c>
      <c r="F18" s="16" t="s">
        <v>49</v>
      </c>
      <c r="G18" s="11" t="str">
        <f t="shared" si="4"/>
        <v>27418.536</v>
      </c>
      <c r="H18" s="12">
        <f t="shared" si="5"/>
        <v>-1354.5</v>
      </c>
      <c r="I18" s="39" t="s">
        <v>80</v>
      </c>
      <c r="J18" s="40" t="s">
        <v>81</v>
      </c>
      <c r="K18" s="39">
        <v>-1354.5</v>
      </c>
      <c r="L18" s="39" t="s">
        <v>82</v>
      </c>
      <c r="M18" s="40" t="s">
        <v>55</v>
      </c>
      <c r="N18" s="40" t="s">
        <v>56</v>
      </c>
      <c r="O18" s="41" t="s">
        <v>78</v>
      </c>
      <c r="P18" s="41" t="s">
        <v>79</v>
      </c>
    </row>
    <row r="19" spans="1:16" ht="12.75" customHeight="1" thickBot="1" x14ac:dyDescent="0.25">
      <c r="A19" s="12" t="str">
        <f t="shared" si="0"/>
        <v> AJ 47.104 </v>
      </c>
      <c r="B19" s="16" t="str">
        <f t="shared" si="1"/>
        <v>I</v>
      </c>
      <c r="C19" s="12">
        <f t="shared" si="2"/>
        <v>27751.61</v>
      </c>
      <c r="D19" s="11" t="str">
        <f t="shared" si="3"/>
        <v>vis</v>
      </c>
      <c r="E19" s="38">
        <f>VLOOKUP(C19,Active!C$21:E$973,3,FALSE)</f>
        <v>-1259.9958507013075</v>
      </c>
      <c r="F19" s="16" t="s">
        <v>49</v>
      </c>
      <c r="G19" s="11" t="str">
        <f t="shared" si="4"/>
        <v>27751.610</v>
      </c>
      <c r="H19" s="12">
        <f t="shared" si="5"/>
        <v>-1260</v>
      </c>
      <c r="I19" s="39" t="s">
        <v>83</v>
      </c>
      <c r="J19" s="40" t="s">
        <v>84</v>
      </c>
      <c r="K19" s="39">
        <v>-1260</v>
      </c>
      <c r="L19" s="39" t="s">
        <v>85</v>
      </c>
      <c r="M19" s="40" t="s">
        <v>55</v>
      </c>
      <c r="N19" s="40" t="s">
        <v>56</v>
      </c>
      <c r="O19" s="41" t="s">
        <v>78</v>
      </c>
      <c r="P19" s="41" t="s">
        <v>79</v>
      </c>
    </row>
    <row r="20" spans="1:16" ht="12.75" customHeight="1" thickBot="1" x14ac:dyDescent="0.25">
      <c r="A20" s="12" t="str">
        <f t="shared" si="0"/>
        <v> APJ 108.28 </v>
      </c>
      <c r="B20" s="16" t="str">
        <f t="shared" si="1"/>
        <v>II</v>
      </c>
      <c r="C20" s="12">
        <f t="shared" si="2"/>
        <v>32192.884999999998</v>
      </c>
      <c r="D20" s="11" t="str">
        <f t="shared" si="3"/>
        <v>vis</v>
      </c>
      <c r="E20" s="38">
        <f>VLOOKUP(C20,Active!C$21:E$973,3,FALSE)</f>
        <v>0.48134135304030151</v>
      </c>
      <c r="F20" s="16" t="s">
        <v>49</v>
      </c>
      <c r="G20" s="11" t="str">
        <f t="shared" si="4"/>
        <v>32192.885</v>
      </c>
      <c r="H20" s="12">
        <f t="shared" si="5"/>
        <v>0.5</v>
      </c>
      <c r="I20" s="39" t="s">
        <v>91</v>
      </c>
      <c r="J20" s="40" t="s">
        <v>92</v>
      </c>
      <c r="K20" s="39">
        <v>0.5</v>
      </c>
      <c r="L20" s="39" t="s">
        <v>93</v>
      </c>
      <c r="M20" s="40" t="s">
        <v>55</v>
      </c>
      <c r="N20" s="40" t="s">
        <v>56</v>
      </c>
      <c r="O20" s="41" t="s">
        <v>89</v>
      </c>
      <c r="P20" s="41" t="s">
        <v>90</v>
      </c>
    </row>
    <row r="21" spans="1:16" ht="12.75" customHeight="1" thickBot="1" x14ac:dyDescent="0.25">
      <c r="A21" s="12" t="str">
        <f t="shared" si="0"/>
        <v> AJ 56.53 </v>
      </c>
      <c r="B21" s="16" t="str">
        <f t="shared" si="1"/>
        <v>II</v>
      </c>
      <c r="C21" s="12">
        <f t="shared" si="2"/>
        <v>32527.608</v>
      </c>
      <c r="D21" s="11" t="str">
        <f t="shared" si="3"/>
        <v>vis</v>
      </c>
      <c r="E21" s="38">
        <f>VLOOKUP(C21,Active!C$21:E$973,3,FALSE)</f>
        <v>95.478995665374015</v>
      </c>
      <c r="F21" s="16" t="s">
        <v>49</v>
      </c>
      <c r="G21" s="11" t="str">
        <f t="shared" si="4"/>
        <v>32527.608</v>
      </c>
      <c r="H21" s="12">
        <f t="shared" si="5"/>
        <v>95.5</v>
      </c>
      <c r="I21" s="39" t="s">
        <v>94</v>
      </c>
      <c r="J21" s="40" t="s">
        <v>95</v>
      </c>
      <c r="K21" s="39">
        <v>95.5</v>
      </c>
      <c r="L21" s="39" t="s">
        <v>96</v>
      </c>
      <c r="M21" s="40" t="s">
        <v>55</v>
      </c>
      <c r="N21" s="40" t="s">
        <v>56</v>
      </c>
      <c r="O21" s="41" t="s">
        <v>89</v>
      </c>
      <c r="P21" s="41" t="s">
        <v>97</v>
      </c>
    </row>
    <row r="22" spans="1:16" ht="12.75" customHeight="1" thickBot="1" x14ac:dyDescent="0.25">
      <c r="A22" s="12" t="str">
        <f t="shared" si="0"/>
        <v> APJ 110.443 </v>
      </c>
      <c r="B22" s="16" t="str">
        <f t="shared" si="1"/>
        <v>I</v>
      </c>
      <c r="C22" s="12">
        <f t="shared" si="2"/>
        <v>32821.845000000001</v>
      </c>
      <c r="D22" s="11" t="str">
        <f t="shared" si="3"/>
        <v>vis</v>
      </c>
      <c r="E22" s="38">
        <f>VLOOKUP(C22,Active!C$21:E$973,3,FALSE)</f>
        <v>178.98632803243001</v>
      </c>
      <c r="F22" s="16" t="s">
        <v>49</v>
      </c>
      <c r="G22" s="11" t="str">
        <f t="shared" si="4"/>
        <v>32821.845</v>
      </c>
      <c r="H22" s="12">
        <f t="shared" si="5"/>
        <v>179</v>
      </c>
      <c r="I22" s="39" t="s">
        <v>98</v>
      </c>
      <c r="J22" s="40" t="s">
        <v>99</v>
      </c>
      <c r="K22" s="39">
        <v>179</v>
      </c>
      <c r="L22" s="39" t="s">
        <v>100</v>
      </c>
      <c r="M22" s="40" t="s">
        <v>55</v>
      </c>
      <c r="N22" s="40" t="s">
        <v>56</v>
      </c>
      <c r="O22" s="41" t="s">
        <v>101</v>
      </c>
      <c r="P22" s="41" t="s">
        <v>102</v>
      </c>
    </row>
    <row r="23" spans="1:16" ht="12.75" customHeight="1" thickBot="1" x14ac:dyDescent="0.25">
      <c r="A23" s="12" t="str">
        <f t="shared" si="0"/>
        <v> APJ 110.443 </v>
      </c>
      <c r="B23" s="16" t="str">
        <f t="shared" si="1"/>
        <v>II</v>
      </c>
      <c r="C23" s="12">
        <f t="shared" si="2"/>
        <v>32844.69</v>
      </c>
      <c r="D23" s="11" t="str">
        <f t="shared" si="3"/>
        <v>vis</v>
      </c>
      <c r="E23" s="38">
        <f>VLOOKUP(C23,Active!C$21:E$973,3,FALSE)</f>
        <v>185.46996200071231</v>
      </c>
      <c r="F23" s="16" t="s">
        <v>49</v>
      </c>
      <c r="G23" s="11" t="str">
        <f t="shared" si="4"/>
        <v>32844.690</v>
      </c>
      <c r="H23" s="12">
        <f t="shared" si="5"/>
        <v>185.5</v>
      </c>
      <c r="I23" s="39" t="s">
        <v>103</v>
      </c>
      <c r="J23" s="40" t="s">
        <v>104</v>
      </c>
      <c r="K23" s="39">
        <v>185.5</v>
      </c>
      <c r="L23" s="39" t="s">
        <v>105</v>
      </c>
      <c r="M23" s="40" t="s">
        <v>55</v>
      </c>
      <c r="N23" s="40" t="s">
        <v>56</v>
      </c>
      <c r="O23" s="41" t="s">
        <v>101</v>
      </c>
      <c r="P23" s="41" t="s">
        <v>102</v>
      </c>
    </row>
    <row r="24" spans="1:16" ht="12.75" customHeight="1" thickBot="1" x14ac:dyDescent="0.25">
      <c r="A24" s="12" t="str">
        <f t="shared" si="0"/>
        <v> AJ 65.137 </v>
      </c>
      <c r="B24" s="16" t="str">
        <f t="shared" si="1"/>
        <v>I</v>
      </c>
      <c r="C24" s="12">
        <f t="shared" si="2"/>
        <v>33255.300999999999</v>
      </c>
      <c r="D24" s="11" t="str">
        <f t="shared" si="3"/>
        <v>vis</v>
      </c>
      <c r="E24" s="38">
        <f>VLOOKUP(C24,Active!C$21:E$973,3,FALSE)</f>
        <v>302.00537138351893</v>
      </c>
      <c r="F24" s="16" t="s">
        <v>49</v>
      </c>
      <c r="G24" s="11" t="str">
        <f t="shared" si="4"/>
        <v>33255.301</v>
      </c>
      <c r="H24" s="12">
        <f t="shared" si="5"/>
        <v>302</v>
      </c>
      <c r="I24" s="39" t="s">
        <v>106</v>
      </c>
      <c r="J24" s="40" t="s">
        <v>107</v>
      </c>
      <c r="K24" s="39">
        <v>302</v>
      </c>
      <c r="L24" s="39" t="s">
        <v>108</v>
      </c>
      <c r="M24" s="40" t="s">
        <v>55</v>
      </c>
      <c r="N24" s="40" t="s">
        <v>56</v>
      </c>
      <c r="O24" s="41" t="s">
        <v>89</v>
      </c>
      <c r="P24" s="41" t="s">
        <v>109</v>
      </c>
    </row>
    <row r="25" spans="1:16" ht="12.75" customHeight="1" thickBot="1" x14ac:dyDescent="0.25">
      <c r="A25" s="12" t="str">
        <f t="shared" si="0"/>
        <v> AJ 65.137 </v>
      </c>
      <c r="B25" s="16" t="str">
        <f t="shared" si="1"/>
        <v>II</v>
      </c>
      <c r="C25" s="12">
        <f t="shared" si="2"/>
        <v>33256.993000000002</v>
      </c>
      <c r="D25" s="11" t="str">
        <f t="shared" si="3"/>
        <v>vis</v>
      </c>
      <c r="E25" s="38">
        <f>VLOOKUP(C25,Active!C$21:E$973,3,FALSE)</f>
        <v>302.48557749751984</v>
      </c>
      <c r="F25" s="16" t="s">
        <v>49</v>
      </c>
      <c r="G25" s="11" t="str">
        <f t="shared" si="4"/>
        <v>33256.993</v>
      </c>
      <c r="H25" s="12">
        <f t="shared" si="5"/>
        <v>302.5</v>
      </c>
      <c r="I25" s="39" t="s">
        <v>110</v>
      </c>
      <c r="J25" s="40" t="s">
        <v>111</v>
      </c>
      <c r="K25" s="39">
        <v>302.5</v>
      </c>
      <c r="L25" s="39" t="s">
        <v>112</v>
      </c>
      <c r="M25" s="40" t="s">
        <v>55</v>
      </c>
      <c r="N25" s="40" t="s">
        <v>56</v>
      </c>
      <c r="O25" s="41" t="s">
        <v>89</v>
      </c>
      <c r="P25" s="41" t="s">
        <v>109</v>
      </c>
    </row>
    <row r="26" spans="1:16" ht="12.75" customHeight="1" thickBot="1" x14ac:dyDescent="0.25">
      <c r="A26" s="12" t="str">
        <f t="shared" si="0"/>
        <v> AJ 65.137 </v>
      </c>
      <c r="B26" s="16" t="str">
        <f t="shared" si="1"/>
        <v>I</v>
      </c>
      <c r="C26" s="12">
        <f t="shared" si="2"/>
        <v>35372.877999999997</v>
      </c>
      <c r="D26" s="11" t="str">
        <f t="shared" si="3"/>
        <v>vis</v>
      </c>
      <c r="E26" s="38">
        <f>VLOOKUP(C26,Active!C$21:E$973,3,FALSE)</f>
        <v>902.99439163533134</v>
      </c>
      <c r="F26" s="16" t="s">
        <v>49</v>
      </c>
      <c r="G26" s="11" t="str">
        <f t="shared" si="4"/>
        <v>35372.878</v>
      </c>
      <c r="H26" s="12">
        <f t="shared" si="5"/>
        <v>903</v>
      </c>
      <c r="I26" s="39" t="s">
        <v>113</v>
      </c>
      <c r="J26" s="40" t="s">
        <v>114</v>
      </c>
      <c r="K26" s="39">
        <v>903</v>
      </c>
      <c r="L26" s="39" t="s">
        <v>115</v>
      </c>
      <c r="M26" s="40" t="s">
        <v>55</v>
      </c>
      <c r="N26" s="40" t="s">
        <v>56</v>
      </c>
      <c r="O26" s="41" t="s">
        <v>116</v>
      </c>
      <c r="P26" s="41" t="s">
        <v>109</v>
      </c>
    </row>
    <row r="27" spans="1:16" ht="12.75" customHeight="1" thickBot="1" x14ac:dyDescent="0.25">
      <c r="A27" s="12" t="str">
        <f t="shared" si="0"/>
        <v> AJ 65.137 </v>
      </c>
      <c r="B27" s="16" t="str">
        <f t="shared" si="1"/>
        <v>II</v>
      </c>
      <c r="C27" s="12">
        <f t="shared" si="2"/>
        <v>35374.552000000003</v>
      </c>
      <c r="D27" s="11" t="str">
        <f t="shared" si="3"/>
        <v>vis</v>
      </c>
      <c r="E27" s="38">
        <f>VLOOKUP(C27,Active!C$21:E$973,3,FALSE)</f>
        <v>903.46948917365239</v>
      </c>
      <c r="F27" s="16" t="s">
        <v>49</v>
      </c>
      <c r="G27" s="11" t="str">
        <f t="shared" si="4"/>
        <v>35374.552</v>
      </c>
      <c r="H27" s="12">
        <f t="shared" si="5"/>
        <v>903.5</v>
      </c>
      <c r="I27" s="39" t="s">
        <v>117</v>
      </c>
      <c r="J27" s="40" t="s">
        <v>118</v>
      </c>
      <c r="K27" s="39">
        <v>903.5</v>
      </c>
      <c r="L27" s="39" t="s">
        <v>119</v>
      </c>
      <c r="M27" s="40" t="s">
        <v>55</v>
      </c>
      <c r="N27" s="40" t="s">
        <v>56</v>
      </c>
      <c r="O27" s="41" t="s">
        <v>116</v>
      </c>
      <c r="P27" s="41" t="s">
        <v>109</v>
      </c>
    </row>
    <row r="28" spans="1:16" ht="12.75" customHeight="1" thickBot="1" x14ac:dyDescent="0.25">
      <c r="A28" s="12" t="str">
        <f t="shared" si="0"/>
        <v> AA 12.184 </v>
      </c>
      <c r="B28" s="16" t="str">
        <f t="shared" si="1"/>
        <v>I</v>
      </c>
      <c r="C28" s="12">
        <f t="shared" si="2"/>
        <v>35386.987000000001</v>
      </c>
      <c r="D28" s="11" t="str">
        <f t="shared" si="3"/>
        <v>vis</v>
      </c>
      <c r="E28" s="38">
        <f>VLOOKUP(C28,Active!C$21:E$973,3,FALSE)</f>
        <v>906.99866353984066</v>
      </c>
      <c r="F28" s="16" t="s">
        <v>49</v>
      </c>
      <c r="G28" s="11" t="str">
        <f t="shared" si="4"/>
        <v>35386.987</v>
      </c>
      <c r="H28" s="12">
        <f t="shared" si="5"/>
        <v>907</v>
      </c>
      <c r="I28" s="39" t="s">
        <v>120</v>
      </c>
      <c r="J28" s="40" t="s">
        <v>121</v>
      </c>
      <c r="K28" s="39">
        <v>907</v>
      </c>
      <c r="L28" s="39" t="s">
        <v>122</v>
      </c>
      <c r="M28" s="40" t="s">
        <v>55</v>
      </c>
      <c r="N28" s="40" t="s">
        <v>56</v>
      </c>
      <c r="O28" s="41" t="s">
        <v>123</v>
      </c>
      <c r="P28" s="41" t="s">
        <v>124</v>
      </c>
    </row>
    <row r="29" spans="1:16" ht="12.75" customHeight="1" thickBot="1" x14ac:dyDescent="0.25">
      <c r="A29" s="12" t="str">
        <f t="shared" si="0"/>
        <v> AA 12.184 </v>
      </c>
      <c r="B29" s="16" t="str">
        <f t="shared" si="1"/>
        <v>I</v>
      </c>
      <c r="C29" s="12">
        <f t="shared" si="2"/>
        <v>35394.000999999997</v>
      </c>
      <c r="D29" s="11" t="str">
        <f t="shared" si="3"/>
        <v>vis</v>
      </c>
      <c r="E29" s="38">
        <f>VLOOKUP(C29,Active!C$21:E$973,3,FALSE)</f>
        <v>908.98930519681164</v>
      </c>
      <c r="F29" s="16" t="s">
        <v>49</v>
      </c>
      <c r="G29" s="11" t="str">
        <f t="shared" si="4"/>
        <v>35394.001</v>
      </c>
      <c r="H29" s="12">
        <f t="shared" si="5"/>
        <v>909</v>
      </c>
      <c r="I29" s="39" t="s">
        <v>125</v>
      </c>
      <c r="J29" s="40" t="s">
        <v>126</v>
      </c>
      <c r="K29" s="39">
        <v>909</v>
      </c>
      <c r="L29" s="39" t="s">
        <v>127</v>
      </c>
      <c r="M29" s="40" t="s">
        <v>55</v>
      </c>
      <c r="N29" s="40" t="s">
        <v>56</v>
      </c>
      <c r="O29" s="41" t="s">
        <v>123</v>
      </c>
      <c r="P29" s="41" t="s">
        <v>124</v>
      </c>
    </row>
    <row r="30" spans="1:16" ht="12.75" customHeight="1" thickBot="1" x14ac:dyDescent="0.25">
      <c r="A30" s="12" t="str">
        <f t="shared" si="0"/>
        <v> AJ 65.137 </v>
      </c>
      <c r="B30" s="16" t="str">
        <f t="shared" si="1"/>
        <v>I</v>
      </c>
      <c r="C30" s="12">
        <f t="shared" si="2"/>
        <v>35411.616999999998</v>
      </c>
      <c r="D30" s="11" t="str">
        <f t="shared" si="3"/>
        <v>vis</v>
      </c>
      <c r="E30" s="38">
        <f>VLOOKUP(C30,Active!C$21:E$973,3,FALSE)</f>
        <v>913.98889792980651</v>
      </c>
      <c r="F30" s="16" t="s">
        <v>49</v>
      </c>
      <c r="G30" s="11" t="str">
        <f t="shared" si="4"/>
        <v>35411.617</v>
      </c>
      <c r="H30" s="12">
        <f t="shared" si="5"/>
        <v>914</v>
      </c>
      <c r="I30" s="39" t="s">
        <v>128</v>
      </c>
      <c r="J30" s="40" t="s">
        <v>129</v>
      </c>
      <c r="K30" s="39">
        <v>914</v>
      </c>
      <c r="L30" s="39" t="s">
        <v>130</v>
      </c>
      <c r="M30" s="40" t="s">
        <v>55</v>
      </c>
      <c r="N30" s="40" t="s">
        <v>56</v>
      </c>
      <c r="O30" s="41" t="s">
        <v>116</v>
      </c>
      <c r="P30" s="41" t="s">
        <v>109</v>
      </c>
    </row>
    <row r="31" spans="1:16" ht="12.75" customHeight="1" thickBot="1" x14ac:dyDescent="0.25">
      <c r="A31" s="12" t="str">
        <f t="shared" si="0"/>
        <v> AJ 65.137 </v>
      </c>
      <c r="B31" s="16" t="str">
        <f t="shared" si="1"/>
        <v>II</v>
      </c>
      <c r="C31" s="12">
        <f t="shared" si="2"/>
        <v>35786.775999999998</v>
      </c>
      <c r="D31" s="11" t="str">
        <f t="shared" si="3"/>
        <v>vis</v>
      </c>
      <c r="E31" s="38">
        <f>VLOOKUP(C31,Active!C$21:E$973,3,FALSE)</f>
        <v>1020.4626836994147</v>
      </c>
      <c r="F31" s="16" t="s">
        <v>49</v>
      </c>
      <c r="G31" s="11" t="str">
        <f t="shared" si="4"/>
        <v>35786.776</v>
      </c>
      <c r="H31" s="12">
        <f t="shared" si="5"/>
        <v>1020.5</v>
      </c>
      <c r="I31" s="39" t="s">
        <v>131</v>
      </c>
      <c r="J31" s="40" t="s">
        <v>132</v>
      </c>
      <c r="K31" s="39">
        <v>1020.5</v>
      </c>
      <c r="L31" s="39" t="s">
        <v>133</v>
      </c>
      <c r="M31" s="40" t="s">
        <v>55</v>
      </c>
      <c r="N31" s="40" t="s">
        <v>56</v>
      </c>
      <c r="O31" s="41" t="s">
        <v>116</v>
      </c>
      <c r="P31" s="41" t="s">
        <v>109</v>
      </c>
    </row>
    <row r="32" spans="1:16" ht="12.75" customHeight="1" thickBot="1" x14ac:dyDescent="0.25">
      <c r="A32" s="12" t="str">
        <f t="shared" si="0"/>
        <v> AJ 65.137 </v>
      </c>
      <c r="B32" s="16" t="str">
        <f t="shared" si="1"/>
        <v>I</v>
      </c>
      <c r="C32" s="12">
        <f t="shared" si="2"/>
        <v>35795.656000000003</v>
      </c>
      <c r="D32" s="11" t="str">
        <f t="shared" si="3"/>
        <v>vis</v>
      </c>
      <c r="E32" s="38">
        <f>VLOOKUP(C32,Active!C$21:E$973,3,FALSE)</f>
        <v>1022.9829143686367</v>
      </c>
      <c r="F32" s="16" t="s">
        <v>49</v>
      </c>
      <c r="G32" s="11" t="str">
        <f t="shared" si="4"/>
        <v>35795.656</v>
      </c>
      <c r="H32" s="12">
        <f t="shared" si="5"/>
        <v>1023</v>
      </c>
      <c r="I32" s="39" t="s">
        <v>134</v>
      </c>
      <c r="J32" s="40" t="s">
        <v>135</v>
      </c>
      <c r="K32" s="39">
        <v>1023</v>
      </c>
      <c r="L32" s="39" t="s">
        <v>136</v>
      </c>
      <c r="M32" s="40" t="s">
        <v>55</v>
      </c>
      <c r="N32" s="40" t="s">
        <v>56</v>
      </c>
      <c r="O32" s="41" t="s">
        <v>116</v>
      </c>
      <c r="P32" s="41" t="s">
        <v>109</v>
      </c>
    </row>
    <row r="33" spans="1:16" ht="12.75" customHeight="1" thickBot="1" x14ac:dyDescent="0.25">
      <c r="A33" s="12" t="str">
        <f t="shared" si="0"/>
        <v> MSAI 30.19 </v>
      </c>
      <c r="B33" s="16" t="str">
        <f t="shared" si="1"/>
        <v>I</v>
      </c>
      <c r="C33" s="12">
        <f t="shared" si="2"/>
        <v>35815.915000000001</v>
      </c>
      <c r="D33" s="11" t="str">
        <f t="shared" si="3"/>
        <v>vis</v>
      </c>
      <c r="E33" s="38">
        <f>VLOOKUP(C33,Active!C$21:E$973,3,FALSE)</f>
        <v>1028.7326162974357</v>
      </c>
      <c r="F33" s="16" t="s">
        <v>49</v>
      </c>
      <c r="G33" s="11" t="str">
        <f t="shared" si="4"/>
        <v>35815.915</v>
      </c>
      <c r="H33" s="12">
        <f t="shared" si="5"/>
        <v>1029</v>
      </c>
      <c r="I33" s="39" t="s">
        <v>137</v>
      </c>
      <c r="J33" s="40" t="s">
        <v>138</v>
      </c>
      <c r="K33" s="39">
        <v>1029</v>
      </c>
      <c r="L33" s="39" t="s">
        <v>139</v>
      </c>
      <c r="M33" s="40" t="s">
        <v>55</v>
      </c>
      <c r="N33" s="40" t="s">
        <v>56</v>
      </c>
      <c r="O33" s="41" t="s">
        <v>140</v>
      </c>
      <c r="P33" s="41" t="s">
        <v>141</v>
      </c>
    </row>
    <row r="34" spans="1:16" ht="12.75" customHeight="1" thickBot="1" x14ac:dyDescent="0.25">
      <c r="A34" s="12" t="str">
        <f t="shared" si="0"/>
        <v> APJS 4.157 </v>
      </c>
      <c r="B34" s="16" t="str">
        <f t="shared" si="1"/>
        <v>I</v>
      </c>
      <c r="C34" s="12">
        <f t="shared" si="2"/>
        <v>35893.411</v>
      </c>
      <c r="D34" s="11" t="str">
        <f t="shared" si="3"/>
        <v>vis</v>
      </c>
      <c r="E34" s="38">
        <f>VLOOKUP(C34,Active!C$21:E$973,3,FALSE)</f>
        <v>1050.7267374620658</v>
      </c>
      <c r="F34" s="16" t="s">
        <v>49</v>
      </c>
      <c r="G34" s="11" t="str">
        <f t="shared" si="4"/>
        <v>35893.411</v>
      </c>
      <c r="H34" s="12">
        <f t="shared" si="5"/>
        <v>1051</v>
      </c>
      <c r="I34" s="39" t="s">
        <v>142</v>
      </c>
      <c r="J34" s="40" t="s">
        <v>143</v>
      </c>
      <c r="K34" s="39">
        <v>1051</v>
      </c>
      <c r="L34" s="39" t="s">
        <v>144</v>
      </c>
      <c r="M34" s="40" t="s">
        <v>55</v>
      </c>
      <c r="N34" s="40" t="s">
        <v>56</v>
      </c>
      <c r="O34" s="41" t="s">
        <v>145</v>
      </c>
      <c r="P34" s="41" t="s">
        <v>146</v>
      </c>
    </row>
    <row r="35" spans="1:16" ht="12.75" customHeight="1" thickBot="1" x14ac:dyDescent="0.25">
      <c r="A35" s="12" t="str">
        <f t="shared" si="0"/>
        <v> PTAO 43.103 </v>
      </c>
      <c r="B35" s="16" t="str">
        <f t="shared" si="1"/>
        <v>II</v>
      </c>
      <c r="C35" s="12">
        <f t="shared" si="2"/>
        <v>36096.843000000001</v>
      </c>
      <c r="D35" s="11" t="str">
        <f t="shared" si="3"/>
        <v>vis</v>
      </c>
      <c r="E35" s="38">
        <f>VLOOKUP(C35,Active!C$21:E$973,3,FALSE)</f>
        <v>1108.462724568021</v>
      </c>
      <c r="F35" s="16" t="s">
        <v>49</v>
      </c>
      <c r="G35" s="11" t="str">
        <f t="shared" si="4"/>
        <v>36096.843</v>
      </c>
      <c r="H35" s="12">
        <f t="shared" si="5"/>
        <v>1108.5</v>
      </c>
      <c r="I35" s="39" t="s">
        <v>147</v>
      </c>
      <c r="J35" s="40" t="s">
        <v>148</v>
      </c>
      <c r="K35" s="39">
        <v>1108.5</v>
      </c>
      <c r="L35" s="39" t="s">
        <v>133</v>
      </c>
      <c r="M35" s="40" t="s">
        <v>55</v>
      </c>
      <c r="N35" s="40" t="s">
        <v>56</v>
      </c>
      <c r="O35" s="41" t="s">
        <v>149</v>
      </c>
      <c r="P35" s="41" t="s">
        <v>150</v>
      </c>
    </row>
    <row r="36" spans="1:16" ht="12.75" customHeight="1" thickBot="1" x14ac:dyDescent="0.25">
      <c r="A36" s="12" t="str">
        <f t="shared" si="0"/>
        <v> PTAO 43.103 </v>
      </c>
      <c r="B36" s="16" t="str">
        <f t="shared" si="1"/>
        <v>I</v>
      </c>
      <c r="C36" s="12">
        <f t="shared" si="2"/>
        <v>36151.538999999997</v>
      </c>
      <c r="D36" s="11" t="str">
        <f t="shared" si="3"/>
        <v>vis</v>
      </c>
      <c r="E36" s="38">
        <f>VLOOKUP(C36,Active!C$21:E$973,3,FALSE)</f>
        <v>1123.9859832035704</v>
      </c>
      <c r="F36" s="16" t="s">
        <v>49</v>
      </c>
      <c r="G36" s="11" t="str">
        <f t="shared" si="4"/>
        <v>36151.539</v>
      </c>
      <c r="H36" s="12">
        <f t="shared" si="5"/>
        <v>1124</v>
      </c>
      <c r="I36" s="39" t="s">
        <v>151</v>
      </c>
      <c r="J36" s="40" t="s">
        <v>152</v>
      </c>
      <c r="K36" s="39">
        <v>1124</v>
      </c>
      <c r="L36" s="39" t="s">
        <v>153</v>
      </c>
      <c r="M36" s="40" t="s">
        <v>55</v>
      </c>
      <c r="N36" s="40" t="s">
        <v>56</v>
      </c>
      <c r="O36" s="41" t="s">
        <v>149</v>
      </c>
      <c r="P36" s="41" t="s">
        <v>150</v>
      </c>
    </row>
    <row r="37" spans="1:16" ht="12.75" customHeight="1" thickBot="1" x14ac:dyDescent="0.25">
      <c r="A37" s="12" t="str">
        <f t="shared" si="0"/>
        <v> MSAI 32.34 </v>
      </c>
      <c r="B37" s="16" t="str">
        <f t="shared" si="1"/>
        <v>I</v>
      </c>
      <c r="C37" s="12">
        <f t="shared" si="2"/>
        <v>37141.550000000003</v>
      </c>
      <c r="D37" s="11" t="str">
        <f t="shared" si="3"/>
        <v>vis</v>
      </c>
      <c r="E37" s="38">
        <f>VLOOKUP(C37,Active!C$21:E$973,3,FALSE)</f>
        <v>1404.9607675578211</v>
      </c>
      <c r="F37" s="16" t="s">
        <v>49</v>
      </c>
      <c r="G37" s="11" t="str">
        <f t="shared" si="4"/>
        <v>37141.55</v>
      </c>
      <c r="H37" s="12">
        <f t="shared" si="5"/>
        <v>1405</v>
      </c>
      <c r="I37" s="39" t="s">
        <v>154</v>
      </c>
      <c r="J37" s="40" t="s">
        <v>155</v>
      </c>
      <c r="K37" s="39">
        <v>1405</v>
      </c>
      <c r="L37" s="39" t="s">
        <v>156</v>
      </c>
      <c r="M37" s="40" t="s">
        <v>55</v>
      </c>
      <c r="N37" s="40" t="s">
        <v>56</v>
      </c>
      <c r="O37" s="41" t="s">
        <v>157</v>
      </c>
      <c r="P37" s="41" t="s">
        <v>158</v>
      </c>
    </row>
    <row r="38" spans="1:16" ht="12.75" customHeight="1" thickBot="1" x14ac:dyDescent="0.25">
      <c r="A38" s="12" t="str">
        <f t="shared" si="0"/>
        <v> PTAO 43.103 </v>
      </c>
      <c r="B38" s="16" t="str">
        <f t="shared" si="1"/>
        <v>I</v>
      </c>
      <c r="C38" s="12">
        <f t="shared" si="2"/>
        <v>40030.945</v>
      </c>
      <c r="D38" s="11" t="str">
        <f t="shared" si="3"/>
        <v>vis</v>
      </c>
      <c r="E38" s="38">
        <f>VLOOKUP(C38,Active!C$21:E$973,3,FALSE)</f>
        <v>2224.9992691898683</v>
      </c>
      <c r="F38" s="16" t="s">
        <v>49</v>
      </c>
      <c r="G38" s="11" t="str">
        <f t="shared" si="4"/>
        <v>40030.945</v>
      </c>
      <c r="H38" s="12">
        <f t="shared" si="5"/>
        <v>2225</v>
      </c>
      <c r="I38" s="39" t="s">
        <v>159</v>
      </c>
      <c r="J38" s="40" t="s">
        <v>160</v>
      </c>
      <c r="K38" s="39">
        <v>2225</v>
      </c>
      <c r="L38" s="39" t="s">
        <v>51</v>
      </c>
      <c r="M38" s="40" t="s">
        <v>55</v>
      </c>
      <c r="N38" s="40" t="s">
        <v>56</v>
      </c>
      <c r="O38" s="41" t="s">
        <v>161</v>
      </c>
      <c r="P38" s="41" t="s">
        <v>150</v>
      </c>
    </row>
    <row r="39" spans="1:16" ht="12.75" customHeight="1" thickBot="1" x14ac:dyDescent="0.25">
      <c r="A39" s="12" t="str">
        <f t="shared" si="0"/>
        <v> PTAO 43.103 </v>
      </c>
      <c r="B39" s="16" t="str">
        <f t="shared" si="1"/>
        <v>II</v>
      </c>
      <c r="C39" s="12">
        <f t="shared" si="2"/>
        <v>40071.353000000003</v>
      </c>
      <c r="D39" s="11" t="str">
        <f t="shared" si="3"/>
        <v>vis</v>
      </c>
      <c r="E39" s="38">
        <f>VLOOKUP(C39,Active!C$21:E$973,3,FALSE)</f>
        <v>2236.467453973863</v>
      </c>
      <c r="F39" s="16" t="s">
        <v>49</v>
      </c>
      <c r="G39" s="11" t="str">
        <f t="shared" si="4"/>
        <v>40071.353</v>
      </c>
      <c r="H39" s="12">
        <f t="shared" si="5"/>
        <v>2236.5</v>
      </c>
      <c r="I39" s="39" t="s">
        <v>162</v>
      </c>
      <c r="J39" s="40" t="s">
        <v>163</v>
      </c>
      <c r="K39" s="39">
        <v>2236.5</v>
      </c>
      <c r="L39" s="39" t="s">
        <v>164</v>
      </c>
      <c r="M39" s="40" t="s">
        <v>55</v>
      </c>
      <c r="N39" s="40" t="s">
        <v>56</v>
      </c>
      <c r="O39" s="41" t="s">
        <v>161</v>
      </c>
      <c r="P39" s="41" t="s">
        <v>150</v>
      </c>
    </row>
    <row r="40" spans="1:16" ht="12.75" customHeight="1" thickBot="1" x14ac:dyDescent="0.25">
      <c r="A40" s="12" t="str">
        <f t="shared" si="0"/>
        <v> PTAO 43.103 </v>
      </c>
      <c r="B40" s="16" t="str">
        <f t="shared" si="1"/>
        <v>I</v>
      </c>
      <c r="C40" s="12">
        <f t="shared" si="2"/>
        <v>40252.921000000002</v>
      </c>
      <c r="D40" s="11" t="str">
        <f t="shared" si="3"/>
        <v>vis</v>
      </c>
      <c r="E40" s="38">
        <f>VLOOKUP(C40,Active!C$21:E$973,3,FALSE)</f>
        <v>2287.9982244861421</v>
      </c>
      <c r="F40" s="16" t="s">
        <v>49</v>
      </c>
      <c r="G40" s="11" t="str">
        <f t="shared" si="4"/>
        <v>40252.921</v>
      </c>
      <c r="H40" s="12">
        <f t="shared" si="5"/>
        <v>2288</v>
      </c>
      <c r="I40" s="39" t="s">
        <v>165</v>
      </c>
      <c r="J40" s="40" t="s">
        <v>166</v>
      </c>
      <c r="K40" s="39">
        <v>2288</v>
      </c>
      <c r="L40" s="39" t="s">
        <v>167</v>
      </c>
      <c r="M40" s="40" t="s">
        <v>55</v>
      </c>
      <c r="N40" s="40" t="s">
        <v>56</v>
      </c>
      <c r="O40" s="41" t="s">
        <v>161</v>
      </c>
      <c r="P40" s="41" t="s">
        <v>150</v>
      </c>
    </row>
    <row r="41" spans="1:16" ht="12.75" customHeight="1" thickBot="1" x14ac:dyDescent="0.25">
      <c r="A41" s="12" t="str">
        <f t="shared" si="0"/>
        <v> PTAO 43.103 </v>
      </c>
      <c r="B41" s="16" t="str">
        <f t="shared" si="1"/>
        <v>II</v>
      </c>
      <c r="C41" s="12">
        <f t="shared" si="2"/>
        <v>40307.423999999999</v>
      </c>
      <c r="D41" s="11" t="str">
        <f t="shared" si="3"/>
        <v>vis</v>
      </c>
      <c r="E41" s="38">
        <f>VLOOKUP(C41,Active!C$21:E$973,3,FALSE)</f>
        <v>2303.466707838003</v>
      </c>
      <c r="F41" s="16" t="s">
        <v>49</v>
      </c>
      <c r="G41" s="11" t="str">
        <f t="shared" si="4"/>
        <v>40307.424</v>
      </c>
      <c r="H41" s="12">
        <f t="shared" si="5"/>
        <v>2303.5</v>
      </c>
      <c r="I41" s="39" t="s">
        <v>168</v>
      </c>
      <c r="J41" s="40" t="s">
        <v>169</v>
      </c>
      <c r="K41" s="39">
        <v>2303.5</v>
      </c>
      <c r="L41" s="39" t="s">
        <v>170</v>
      </c>
      <c r="M41" s="40" t="s">
        <v>55</v>
      </c>
      <c r="N41" s="40" t="s">
        <v>56</v>
      </c>
      <c r="O41" s="41" t="s">
        <v>161</v>
      </c>
      <c r="P41" s="41" t="s">
        <v>150</v>
      </c>
    </row>
    <row r="42" spans="1:16" ht="12.75" customHeight="1" thickBot="1" x14ac:dyDescent="0.25">
      <c r="A42" s="12" t="str">
        <f t="shared" si="0"/>
        <v> PTAO 43.103 </v>
      </c>
      <c r="B42" s="16" t="str">
        <f t="shared" si="1"/>
        <v>II</v>
      </c>
      <c r="C42" s="12">
        <f t="shared" si="2"/>
        <v>40606.93</v>
      </c>
      <c r="D42" s="11" t="str">
        <f t="shared" si="3"/>
        <v>vis</v>
      </c>
      <c r="E42" s="38">
        <f>VLOOKUP(C42,Active!C$21:E$973,3,FALSE)</f>
        <v>2388.4694338307486</v>
      </c>
      <c r="F42" s="16" t="s">
        <v>49</v>
      </c>
      <c r="G42" s="11" t="str">
        <f t="shared" si="4"/>
        <v>40606.930</v>
      </c>
      <c r="H42" s="12">
        <f t="shared" si="5"/>
        <v>2388.5</v>
      </c>
      <c r="I42" s="39" t="s">
        <v>171</v>
      </c>
      <c r="J42" s="40" t="s">
        <v>172</v>
      </c>
      <c r="K42" s="39">
        <v>2388.5</v>
      </c>
      <c r="L42" s="39" t="s">
        <v>119</v>
      </c>
      <c r="M42" s="40" t="s">
        <v>55</v>
      </c>
      <c r="N42" s="40" t="s">
        <v>56</v>
      </c>
      <c r="O42" s="41" t="s">
        <v>161</v>
      </c>
      <c r="P42" s="41" t="s">
        <v>150</v>
      </c>
    </row>
    <row r="43" spans="1:16" ht="12.75" customHeight="1" thickBot="1" x14ac:dyDescent="0.25">
      <c r="A43" s="12" t="str">
        <f t="shared" si="0"/>
        <v> PTAO 43.103 </v>
      </c>
      <c r="B43" s="16" t="str">
        <f t="shared" si="1"/>
        <v>I</v>
      </c>
      <c r="C43" s="12">
        <f t="shared" si="2"/>
        <v>40629.913</v>
      </c>
      <c r="D43" s="11" t="str">
        <f t="shared" si="3"/>
        <v>vis</v>
      </c>
      <c r="E43" s="38">
        <f>VLOOKUP(C43,Active!C$21:E$973,3,FALSE)</f>
        <v>2394.9922335459169</v>
      </c>
      <c r="F43" s="16" t="s">
        <v>49</v>
      </c>
      <c r="G43" s="11" t="str">
        <f t="shared" si="4"/>
        <v>40629.913</v>
      </c>
      <c r="H43" s="12">
        <f t="shared" si="5"/>
        <v>2395</v>
      </c>
      <c r="I43" s="39" t="s">
        <v>173</v>
      </c>
      <c r="J43" s="40" t="s">
        <v>174</v>
      </c>
      <c r="K43" s="39">
        <v>2395</v>
      </c>
      <c r="L43" s="39" t="s">
        <v>175</v>
      </c>
      <c r="M43" s="40" t="s">
        <v>55</v>
      </c>
      <c r="N43" s="40" t="s">
        <v>56</v>
      </c>
      <c r="O43" s="41" t="s">
        <v>161</v>
      </c>
      <c r="P43" s="41" t="s">
        <v>150</v>
      </c>
    </row>
    <row r="44" spans="1:16" ht="12.75" customHeight="1" thickBot="1" x14ac:dyDescent="0.25">
      <c r="A44" s="12" t="str">
        <f t="shared" si="0"/>
        <v>IBVS 951 </v>
      </c>
      <c r="B44" s="16" t="str">
        <f t="shared" si="1"/>
        <v>I</v>
      </c>
      <c r="C44" s="12">
        <f t="shared" si="2"/>
        <v>40855.402000000002</v>
      </c>
      <c r="D44" s="11" t="str">
        <f t="shared" si="3"/>
        <v>vis</v>
      </c>
      <c r="E44" s="38">
        <f>VLOOKUP(C44,Active!C$21:E$973,3,FALSE)</f>
        <v>2458.988212529237</v>
      </c>
      <c r="F44" s="16" t="s">
        <v>49</v>
      </c>
      <c r="G44" s="11" t="str">
        <f t="shared" si="4"/>
        <v>40855.402</v>
      </c>
      <c r="H44" s="12">
        <f t="shared" si="5"/>
        <v>2459</v>
      </c>
      <c r="I44" s="39" t="s">
        <v>176</v>
      </c>
      <c r="J44" s="40" t="s">
        <v>177</v>
      </c>
      <c r="K44" s="39">
        <v>2459</v>
      </c>
      <c r="L44" s="39" t="s">
        <v>178</v>
      </c>
      <c r="M44" s="40" t="s">
        <v>55</v>
      </c>
      <c r="N44" s="40" t="s">
        <v>56</v>
      </c>
      <c r="O44" s="41" t="s">
        <v>179</v>
      </c>
      <c r="P44" s="42" t="s">
        <v>180</v>
      </c>
    </row>
    <row r="45" spans="1:16" ht="12.75" customHeight="1" thickBot="1" x14ac:dyDescent="0.25">
      <c r="A45" s="12" t="str">
        <f t="shared" si="0"/>
        <v> PTAO 52.326 </v>
      </c>
      <c r="B45" s="16" t="str">
        <f t="shared" si="1"/>
        <v>I</v>
      </c>
      <c r="C45" s="12">
        <f t="shared" si="2"/>
        <v>45295.071000000004</v>
      </c>
      <c r="D45" s="11" t="str">
        <f t="shared" si="3"/>
        <v>vis</v>
      </c>
      <c r="E45" s="38">
        <f>VLOOKUP(C45,Active!C$21:E$973,3,FALSE)</f>
        <v>3719.0096061089498</v>
      </c>
      <c r="F45" s="16" t="s">
        <v>49</v>
      </c>
      <c r="G45" s="11" t="str">
        <f t="shared" si="4"/>
        <v>45295.071</v>
      </c>
      <c r="H45" s="12">
        <f t="shared" si="5"/>
        <v>3719</v>
      </c>
      <c r="I45" s="39" t="s">
        <v>181</v>
      </c>
      <c r="J45" s="40" t="s">
        <v>182</v>
      </c>
      <c r="K45" s="39">
        <v>3719</v>
      </c>
      <c r="L45" s="39" t="s">
        <v>183</v>
      </c>
      <c r="M45" s="40" t="s">
        <v>55</v>
      </c>
      <c r="N45" s="40" t="s">
        <v>56</v>
      </c>
      <c r="O45" s="41" t="s">
        <v>184</v>
      </c>
      <c r="P45" s="41" t="s">
        <v>185</v>
      </c>
    </row>
    <row r="46" spans="1:16" x14ac:dyDescent="0.2">
      <c r="B46" s="16"/>
      <c r="F46" s="16"/>
    </row>
    <row r="47" spans="1:16" x14ac:dyDescent="0.2">
      <c r="B47" s="16"/>
      <c r="F47" s="16"/>
    </row>
    <row r="48" spans="1:16" x14ac:dyDescent="0.2">
      <c r="B48" s="16"/>
      <c r="F48" s="16"/>
    </row>
    <row r="49" spans="2:6" x14ac:dyDescent="0.2">
      <c r="B49" s="16"/>
      <c r="F49" s="16"/>
    </row>
    <row r="50" spans="2:6" x14ac:dyDescent="0.2">
      <c r="B50" s="16"/>
      <c r="F50" s="16"/>
    </row>
    <row r="51" spans="2:6" x14ac:dyDescent="0.2">
      <c r="B51" s="16"/>
      <c r="F51" s="16"/>
    </row>
    <row r="52" spans="2:6" x14ac:dyDescent="0.2">
      <c r="B52" s="16"/>
      <c r="F52" s="16"/>
    </row>
    <row r="53" spans="2:6" x14ac:dyDescent="0.2">
      <c r="B53" s="16"/>
      <c r="F53" s="16"/>
    </row>
    <row r="54" spans="2:6" x14ac:dyDescent="0.2">
      <c r="B54" s="16"/>
      <c r="F54" s="16"/>
    </row>
    <row r="55" spans="2:6" x14ac:dyDescent="0.2">
      <c r="B55" s="16"/>
      <c r="F55" s="16"/>
    </row>
    <row r="56" spans="2:6" x14ac:dyDescent="0.2">
      <c r="B56" s="16"/>
      <c r="F56" s="16"/>
    </row>
    <row r="57" spans="2:6" x14ac:dyDescent="0.2">
      <c r="B57" s="16"/>
      <c r="F57" s="16"/>
    </row>
    <row r="58" spans="2:6" x14ac:dyDescent="0.2">
      <c r="B58" s="16"/>
      <c r="F58" s="16"/>
    </row>
    <row r="59" spans="2:6" x14ac:dyDescent="0.2">
      <c r="B59" s="16"/>
      <c r="F59" s="16"/>
    </row>
    <row r="60" spans="2:6" x14ac:dyDescent="0.2">
      <c r="B60" s="16"/>
      <c r="F60" s="16"/>
    </row>
    <row r="61" spans="2:6" x14ac:dyDescent="0.2">
      <c r="B61" s="16"/>
      <c r="F61" s="16"/>
    </row>
    <row r="62" spans="2:6" x14ac:dyDescent="0.2">
      <c r="B62" s="16"/>
      <c r="F62" s="16"/>
    </row>
    <row r="63" spans="2:6" x14ac:dyDescent="0.2">
      <c r="B63" s="16"/>
      <c r="F63" s="16"/>
    </row>
    <row r="64" spans="2:6" x14ac:dyDescent="0.2">
      <c r="B64" s="16"/>
      <c r="F64" s="16"/>
    </row>
    <row r="65" spans="2:6" x14ac:dyDescent="0.2">
      <c r="B65" s="16"/>
      <c r="F65" s="16"/>
    </row>
    <row r="66" spans="2:6" x14ac:dyDescent="0.2">
      <c r="B66" s="16"/>
      <c r="F66" s="16"/>
    </row>
    <row r="67" spans="2:6" x14ac:dyDescent="0.2">
      <c r="B67" s="16"/>
      <c r="F67" s="16"/>
    </row>
    <row r="68" spans="2:6" x14ac:dyDescent="0.2">
      <c r="B68" s="16"/>
      <c r="F68" s="16"/>
    </row>
    <row r="69" spans="2:6" x14ac:dyDescent="0.2">
      <c r="B69" s="16"/>
      <c r="F69" s="16"/>
    </row>
    <row r="70" spans="2:6" x14ac:dyDescent="0.2">
      <c r="B70" s="16"/>
      <c r="F70" s="16"/>
    </row>
    <row r="71" spans="2:6" x14ac:dyDescent="0.2">
      <c r="B71" s="16"/>
      <c r="F71" s="16"/>
    </row>
    <row r="72" spans="2:6" x14ac:dyDescent="0.2">
      <c r="B72" s="16"/>
      <c r="F72" s="16"/>
    </row>
    <row r="73" spans="2:6" x14ac:dyDescent="0.2">
      <c r="B73" s="16"/>
      <c r="F73" s="16"/>
    </row>
    <row r="74" spans="2:6" x14ac:dyDescent="0.2">
      <c r="B74" s="16"/>
      <c r="F74" s="16"/>
    </row>
    <row r="75" spans="2:6" x14ac:dyDescent="0.2">
      <c r="B75" s="16"/>
      <c r="F75" s="16"/>
    </row>
    <row r="76" spans="2:6" x14ac:dyDescent="0.2">
      <c r="B76" s="16"/>
      <c r="F76" s="16"/>
    </row>
    <row r="77" spans="2:6" x14ac:dyDescent="0.2">
      <c r="B77" s="16"/>
      <c r="F77" s="16"/>
    </row>
    <row r="78" spans="2:6" x14ac:dyDescent="0.2">
      <c r="B78" s="16"/>
      <c r="F78" s="16"/>
    </row>
    <row r="79" spans="2:6" x14ac:dyDescent="0.2">
      <c r="B79" s="16"/>
      <c r="F79" s="16"/>
    </row>
    <row r="80" spans="2:6" x14ac:dyDescent="0.2">
      <c r="B80" s="16"/>
      <c r="F80" s="16"/>
    </row>
    <row r="81" spans="2:6" x14ac:dyDescent="0.2">
      <c r="B81" s="16"/>
      <c r="F81" s="16"/>
    </row>
    <row r="82" spans="2:6" x14ac:dyDescent="0.2">
      <c r="B82" s="16"/>
      <c r="F82" s="16"/>
    </row>
    <row r="83" spans="2:6" x14ac:dyDescent="0.2">
      <c r="B83" s="16"/>
      <c r="F83" s="16"/>
    </row>
    <row r="84" spans="2:6" x14ac:dyDescent="0.2">
      <c r="B84" s="16"/>
      <c r="F84" s="16"/>
    </row>
    <row r="85" spans="2:6" x14ac:dyDescent="0.2">
      <c r="B85" s="16"/>
      <c r="F85" s="16"/>
    </row>
    <row r="86" spans="2:6" x14ac:dyDescent="0.2">
      <c r="B86" s="16"/>
      <c r="F86" s="16"/>
    </row>
    <row r="87" spans="2:6" x14ac:dyDescent="0.2">
      <c r="B87" s="16"/>
      <c r="F87" s="16"/>
    </row>
    <row r="88" spans="2:6" x14ac:dyDescent="0.2">
      <c r="B88" s="16"/>
      <c r="F88" s="16"/>
    </row>
    <row r="89" spans="2:6" x14ac:dyDescent="0.2">
      <c r="B89" s="16"/>
      <c r="F89" s="16"/>
    </row>
    <row r="90" spans="2:6" x14ac:dyDescent="0.2">
      <c r="B90" s="16"/>
      <c r="F90" s="16"/>
    </row>
    <row r="91" spans="2:6" x14ac:dyDescent="0.2">
      <c r="B91" s="16"/>
      <c r="F91" s="16"/>
    </row>
    <row r="92" spans="2:6" x14ac:dyDescent="0.2">
      <c r="B92" s="16"/>
      <c r="F92" s="16"/>
    </row>
    <row r="93" spans="2:6" x14ac:dyDescent="0.2">
      <c r="B93" s="16"/>
      <c r="F93" s="16"/>
    </row>
    <row r="94" spans="2:6" x14ac:dyDescent="0.2">
      <c r="B94" s="16"/>
      <c r="F94" s="16"/>
    </row>
    <row r="95" spans="2:6" x14ac:dyDescent="0.2">
      <c r="B95" s="16"/>
      <c r="F95" s="16"/>
    </row>
    <row r="96" spans="2: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</sheetData>
  <phoneticPr fontId="7" type="noConversion"/>
  <hyperlinks>
    <hyperlink ref="A3" r:id="rId1"/>
    <hyperlink ref="P44" r:id="rId2" display="http://www.konkoly.hu/cgi-bin/IBVS?95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2024-01-19T02:15:53Z</dcterms:modified>
</cp:coreProperties>
</file>