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B16E20-E4E2-4884-8EE9-3985D125E4D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D14" i="1" l="1"/>
  <c r="D13" i="1"/>
  <c r="C7" i="1"/>
  <c r="C8" i="1"/>
  <c r="E21" i="1"/>
  <c r="F21" i="1"/>
  <c r="G21" i="1"/>
  <c r="E22" i="1"/>
  <c r="F22" i="1"/>
  <c r="U22" i="1"/>
  <c r="E23" i="1"/>
  <c r="F23" i="1"/>
  <c r="G23" i="1"/>
  <c r="E24" i="1"/>
  <c r="F24" i="1"/>
  <c r="G24" i="1"/>
  <c r="E25" i="1"/>
  <c r="F25" i="1"/>
  <c r="C26" i="1"/>
  <c r="E27" i="1"/>
  <c r="F27" i="1"/>
  <c r="G27" i="1"/>
  <c r="E28" i="1"/>
  <c r="F28" i="1"/>
  <c r="G28" i="1"/>
  <c r="E29" i="1"/>
  <c r="F29" i="1"/>
  <c r="G29" i="1"/>
  <c r="G25" i="1"/>
  <c r="R25" i="1"/>
  <c r="C14" i="1"/>
  <c r="C13" i="1"/>
  <c r="Q21" i="1"/>
  <c r="Q22" i="1"/>
  <c r="Q23" i="1"/>
  <c r="Q24" i="1"/>
  <c r="Q25" i="1"/>
  <c r="Q27" i="1"/>
  <c r="Q28" i="1"/>
  <c r="G12" i="2"/>
  <c r="C12" i="2"/>
  <c r="E12" i="2"/>
  <c r="G19" i="2"/>
  <c r="C19" i="2"/>
  <c r="E19" i="2"/>
  <c r="G18" i="2"/>
  <c r="C18" i="2"/>
  <c r="E18" i="2"/>
  <c r="G11" i="2"/>
  <c r="C11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19" i="2"/>
  <c r="D19" i="2"/>
  <c r="B19" i="2"/>
  <c r="A19" i="2"/>
  <c r="H18" i="2"/>
  <c r="B18" i="2"/>
  <c r="D18" i="2"/>
  <c r="A18" i="2"/>
  <c r="H11" i="2"/>
  <c r="D11" i="2"/>
  <c r="B11" i="2"/>
  <c r="A1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Q29" i="1"/>
  <c r="F12" i="1"/>
  <c r="F13" i="1" s="1"/>
  <c r="S19" i="1"/>
  <c r="E19" i="1"/>
  <c r="Q26" i="1"/>
  <c r="R23" i="1"/>
  <c r="I23" i="1"/>
  <c r="E11" i="2"/>
  <c r="K29" i="1"/>
  <c r="R29" i="1"/>
  <c r="I28" i="1"/>
  <c r="R28" i="1"/>
  <c r="R21" i="1"/>
  <c r="I21" i="1"/>
  <c r="I27" i="1"/>
  <c r="R27" i="1"/>
  <c r="R24" i="1"/>
  <c r="I24" i="1"/>
  <c r="I25" i="1"/>
  <c r="E26" i="1"/>
  <c r="F26" i="1"/>
  <c r="C17" i="1"/>
  <c r="G26" i="1"/>
  <c r="R26" i="1"/>
  <c r="H26" i="1"/>
  <c r="R19" i="1"/>
  <c r="E18" i="1"/>
  <c r="D11" i="1"/>
  <c r="D12" i="1"/>
  <c r="C12" i="1"/>
  <c r="C16" i="1" l="1"/>
  <c r="D18" i="1" s="1"/>
  <c r="D16" i="1"/>
  <c r="D19" i="1" s="1"/>
  <c r="P28" i="1"/>
  <c r="D15" i="1"/>
  <c r="C19" i="1" s="1"/>
  <c r="P21" i="1"/>
  <c r="P27" i="1"/>
  <c r="P23" i="1"/>
  <c r="P25" i="1"/>
  <c r="P26" i="1"/>
  <c r="P29" i="1"/>
  <c r="P22" i="1"/>
  <c r="P24" i="1"/>
  <c r="C11" i="1"/>
  <c r="O21" i="1" l="1"/>
  <c r="O25" i="1"/>
  <c r="O28" i="1"/>
  <c r="O22" i="1"/>
  <c r="C15" i="1"/>
  <c r="O26" i="1"/>
  <c r="O27" i="1"/>
  <c r="O29" i="1"/>
  <c r="O24" i="1"/>
  <c r="O23" i="1"/>
  <c r="C18" i="1" l="1"/>
  <c r="F14" i="1"/>
  <c r="F15" i="1" s="1"/>
</calcChain>
</file>

<file path=xl/sharedStrings.xml><?xml version="1.0" encoding="utf-8"?>
<sst xmlns="http://schemas.openxmlformats.org/spreadsheetml/2006/main" count="155" uniqueCount="96">
  <si>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</si>
  <si>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</si>
  <si>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</si>
  <si>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</si>
  <si>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</si>
  <si>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</si>
  <si>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</si>
  <si>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</si>
  <si>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</si>
  <si>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</si>
  <si>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</si>
  <si>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</si>
  <si>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</si>
  <si>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</si>
  <si>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</si>
  <si>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</si>
  <si>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</si>
  <si>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</si>
  <si>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</si>
  <si>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</si>
  <si>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</si>
  <si>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</si>
  <si>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</si>
  <si>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</si>
  <si>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</si>
  <si>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</si>
  <si>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</si>
  <si>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</si>
  <si>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</si>
  <si>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</si>
  <si>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</si>
  <si>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</si>
  <si>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</si>
  <si>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</si>
  <si>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</si>
  <si>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</si>
  <si>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</si>
  <si>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</si>
  <si>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</si>
  <si>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</si>
  <si>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AR Cas / GSC 4011-1296</t>
  </si>
  <si>
    <t>EA/DM</t>
  </si>
  <si>
    <t>IBVS 6114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</si>
  <si>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</si>
  <si>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</si>
  <si>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</si>
  <si>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</si>
  <si>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</si>
  <si>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</si>
  <si>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</si>
  <si>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</si>
  <si>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</si>
  <si>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</si>
  <si>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</si>
  <si>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</si>
  <si>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</si>
  <si>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2422586.492 </t>
  </si>
  <si>
    <t> 18.09.1920 23:48 </t>
  </si>
  <si>
    <t> -0.000 </t>
  </si>
  <si>
    <t>E </t>
  </si>
  <si>
    <t>?</t>
  </si>
  <si>
    <t> J.Stebbins </t>
  </si>
  <si>
    <t> APJ 54.81 </t>
  </si>
  <si>
    <t>2425880.434 </t>
  </si>
  <si>
    <t> 25.09.1929 22:24 </t>
  </si>
  <si>
    <t> -0.076 </t>
  </si>
  <si>
    <t> M.Güssow </t>
  </si>
  <si>
    <t> BZ 38.82 </t>
  </si>
  <si>
    <t>2428834.813 </t>
  </si>
  <si>
    <t> 28.10.1937 07:30 </t>
  </si>
  <si>
    <t> Gordon &amp; Kron </t>
  </si>
  <si>
    <t> AJ 76.559 </t>
  </si>
  <si>
    <t>2432480.681 </t>
  </si>
  <si>
    <t> 22.10.1947 04:20 </t>
  </si>
  <si>
    <t> 0.003 </t>
  </si>
  <si>
    <t>2432492.814 </t>
  </si>
  <si>
    <t> 03.11.1947 07:32 </t>
  </si>
  <si>
    <t>2435792.8948 </t>
  </si>
  <si>
    <t> 15.11.1956 09:28 </t>
  </si>
  <si>
    <t> 0.0000 </t>
  </si>
  <si>
    <t> Huffer &amp; Collins </t>
  </si>
  <si>
    <t> APJS 7.351 </t>
  </si>
  <si>
    <t>2436860.581 </t>
  </si>
  <si>
    <t> 19.10.1959 01:56 </t>
  </si>
  <si>
    <t> 0.012 </t>
  </si>
  <si>
    <t>2440063.600 </t>
  </si>
  <si>
    <t> 26.07.1968 02:24 </t>
  </si>
  <si>
    <t> 0.008 </t>
  </si>
  <si>
    <t> Catalano &amp; Rodono </t>
  </si>
  <si>
    <t>2456515.5059 </t>
  </si>
  <si>
    <t> 11.08.2013 00:08 </t>
  </si>
  <si>
    <t> 0.0247 </t>
  </si>
  <si>
    <t>C </t>
  </si>
  <si>
    <t> R.Uhlar </t>
  </si>
  <si>
    <t>IBVS 6114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</si>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</sst>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58966565349544"/>
          <c:w val="0.8016129032258064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1.72E-3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1.72E-3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7-4A85-A656-070828623A8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-4.307000053813681E-4</c:v>
                </c:pt>
                <c:pt idx="2">
                  <c:v>-2.5770000502234325E-4</c:v>
                </c:pt>
                <c:pt idx="3">
                  <c:v>2.8714000000036322E-3</c:v>
                </c:pt>
                <c:pt idx="4">
                  <c:v>3.2095999958983157E-3</c:v>
                </c:pt>
                <c:pt idx="6">
                  <c:v>1.1961599993810523E-2</c:v>
                </c:pt>
                <c:pt idx="7">
                  <c:v>8.2463999933679588E-3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7-4A85-A656-070828623A8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67-4A85-A656-070828623A8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8">
                  <c:v>2.4745599999732804E-2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67-4A85-A656-070828623A8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67-4A85-A656-070828623A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67-4A85-A656-070828623A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67-4A85-A656-070828623A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-4.1610067079937514E-3</c:v>
                </c:pt>
                <c:pt idx="1">
                  <c:v>-1.535651191486455E-3</c:v>
                </c:pt>
                <c:pt idx="2">
                  <c:v>8.1894942829080844E-4</c:v>
                </c:pt>
                <c:pt idx="3">
                  <c:v>3.7247296592684987E-3</c:v>
                </c:pt>
                <c:pt idx="4">
                  <c:v>3.7343994770088571E-3</c:v>
                </c:pt>
                <c:pt idx="5">
                  <c:v>6.3645899023863335E-3</c:v>
                </c:pt>
                <c:pt idx="6">
                  <c:v>7.2155338635378702E-3</c:v>
                </c:pt>
                <c:pt idx="7">
                  <c:v>9.7683657469924794E-3</c:v>
                </c:pt>
                <c:pt idx="8">
                  <c:v>2.2880638602918429E-2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67-4A85-A656-07082862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74448"/>
        <c:axId val="1"/>
      </c:scatterChart>
      <c:valAx>
        <c:axId val="42257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57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5161290322581"/>
          <c:y val="0.92097264437689974"/>
          <c:w val="0.6887096774193548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Cas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-4.307000053813681E-4</c:v>
                </c:pt>
                <c:pt idx="2">
                  <c:v>-2.5770000502234325E-4</c:v>
                </c:pt>
                <c:pt idx="3">
                  <c:v>2.8714000000036322E-3</c:v>
                </c:pt>
                <c:pt idx="4">
                  <c:v>3.2095999958983157E-3</c:v>
                </c:pt>
                <c:pt idx="5">
                  <c:v>0</c:v>
                </c:pt>
                <c:pt idx="6">
                  <c:v>1.1961599993810523E-2</c:v>
                </c:pt>
                <c:pt idx="7">
                  <c:v>8.2463999933679588E-3</c:v>
                </c:pt>
                <c:pt idx="8">
                  <c:v>2.4745599999732804E-2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2-43C2-805A-19531B7C792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-4.1610067079937514E-3</c:v>
                </c:pt>
                <c:pt idx="1">
                  <c:v>-1.535651191486455E-3</c:v>
                </c:pt>
                <c:pt idx="2">
                  <c:v>8.1894942829080844E-4</c:v>
                </c:pt>
                <c:pt idx="3">
                  <c:v>3.7247296592684987E-3</c:v>
                </c:pt>
                <c:pt idx="4">
                  <c:v>3.7343994770088571E-3</c:v>
                </c:pt>
                <c:pt idx="5">
                  <c:v>6.3645899023863335E-3</c:v>
                </c:pt>
                <c:pt idx="6">
                  <c:v>7.2155338635378702E-3</c:v>
                </c:pt>
                <c:pt idx="7">
                  <c:v>9.7683657469924794E-3</c:v>
                </c:pt>
                <c:pt idx="8">
                  <c:v>2.2880638602918429E-2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2-43C2-805A-19531B7C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08056"/>
        <c:axId val="1"/>
      </c:scatterChart>
      <c:valAx>
        <c:axId val="5191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1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Cas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87755887033529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1-4BD5-A0C5-EA2402B7B97B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-2177</c:v>
                </c:pt>
                <c:pt idx="1">
                  <c:v>-1634</c:v>
                </c:pt>
                <c:pt idx="2">
                  <c:v>-1147</c:v>
                </c:pt>
                <c:pt idx="3">
                  <c:v>-546</c:v>
                </c:pt>
                <c:pt idx="4">
                  <c:v>-544</c:v>
                </c:pt>
                <c:pt idx="5">
                  <c:v>0</c:v>
                </c:pt>
                <c:pt idx="6">
                  <c:v>176</c:v>
                </c:pt>
                <c:pt idx="7">
                  <c:v>704</c:v>
                </c:pt>
                <c:pt idx="8">
                  <c:v>3416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1-4BD5-A0C5-EA2402B7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87984"/>
        <c:axId val="1"/>
      </c:scatterChart>
      <c:valAx>
        <c:axId val="51468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6959130108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8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59226525255768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0</xdr:rowOff>
    </xdr:from>
    <xdr:to>
      <xdr:col>19</xdr:col>
      <xdr:colOff>352425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1677121-00DB-DADD-E0CB-245A96AB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19049</xdr:rowOff>
    </xdr:from>
    <xdr:to>
      <xdr:col>12</xdr:col>
      <xdr:colOff>95250</xdr:colOff>
      <xdr:row>21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CC171-D748-F691-4518-8B0ABD8AE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21</xdr:row>
      <xdr:rowOff>133350</xdr:rowOff>
    </xdr:from>
    <xdr:to>
      <xdr:col>12</xdr:col>
      <xdr:colOff>66675</xdr:colOff>
      <xdr:row>42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34C0003-6383-97B1-CE46-6FD8E079B0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17</v>
      </c>
      <c r="B2" s="10" t="s">
        <v>41</v>
      </c>
    </row>
    <row r="3" spans="1:6" ht="13.5" thickBot="1" x14ac:dyDescent="0.25">
      <c r="C3" s="11"/>
    </row>
    <row r="4" spans="1:6" ht="14.25" thickTop="1" thickBot="1" x14ac:dyDescent="0.25">
      <c r="A4" s="6" t="s">
        <v>0</v>
      </c>
      <c r="C4" s="3">
        <v>35792.894800000002</v>
      </c>
      <c r="D4" s="4">
        <v>6.0663308999999996</v>
      </c>
    </row>
    <row r="5" spans="1:6" ht="13.5" thickTop="1" x14ac:dyDescent="0.2">
      <c r="A5" s="29" t="s">
        <v>32</v>
      </c>
      <c r="B5" s="23"/>
      <c r="C5" s="30">
        <v>-9.5</v>
      </c>
      <c r="D5" s="23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35792.894800000002</v>
      </c>
    </row>
    <row r="8" spans="1:6" x14ac:dyDescent="0.2">
      <c r="A8" t="s">
        <v>3</v>
      </c>
      <c r="C8">
        <f>D4</f>
        <v>6.0663308999999996</v>
      </c>
    </row>
    <row r="9" spans="1:6" x14ac:dyDescent="0.2">
      <c r="A9" s="21" t="s">
        <v>29</v>
      </c>
      <c r="B9" s="21"/>
      <c r="C9" s="37">
        <v>21</v>
      </c>
      <c r="D9" s="37">
        <v>21</v>
      </c>
    </row>
    <row r="10" spans="1:6" ht="13.5" thickBot="1" x14ac:dyDescent="0.25">
      <c r="A10" s="23"/>
      <c r="B10" s="23"/>
      <c r="C10" s="5" t="s">
        <v>19</v>
      </c>
      <c r="D10" s="5" t="s">
        <v>20</v>
      </c>
    </row>
    <row r="11" spans="1:6" x14ac:dyDescent="0.2">
      <c r="A11" s="23" t="s">
        <v>14</v>
      </c>
      <c r="B11" s="23"/>
      <c r="C11" s="24">
        <f ca="1">INTERCEPT(INDIRECT(C14):R$935,INDIRECT(C13):$F$935)</f>
        <v>6.3645899023863335E-3</v>
      </c>
      <c r="D11" s="24" t="e">
        <f ca="1">INTERCEPT(INDIRECT(D14):S$935,INDIRECT(D13):$F$935)</f>
        <v>#DIV/0!</v>
      </c>
      <c r="E11" s="21" t="s">
        <v>35</v>
      </c>
      <c r="F11">
        <v>1</v>
      </c>
    </row>
    <row r="12" spans="1:6" x14ac:dyDescent="0.2">
      <c r="A12" s="23" t="s">
        <v>15</v>
      </c>
      <c r="B12" s="23"/>
      <c r="C12" s="24">
        <f ca="1">SLOPE(INDIRECT(C14):R$935,INDIRECT(C13):$F$935)</f>
        <v>4.834908870179185E-6</v>
      </c>
      <c r="D12" s="24" t="e">
        <f ca="1">SLOPE(INDIRECT(D14):S$935,INDIRECT(D13):$F$935)</f>
        <v>#DIV/0!</v>
      </c>
      <c r="E12" s="21" t="s">
        <v>36</v>
      </c>
      <c r="F12" s="31">
        <f ca="1">NOW()+15018.5+$C$5/24</f>
        <v>60328.637968287032</v>
      </c>
    </row>
    <row r="13" spans="1:6" x14ac:dyDescent="0.2">
      <c r="A13" s="21" t="s">
        <v>30</v>
      </c>
      <c r="B13" s="21"/>
      <c r="C13" s="22" t="str">
        <f>"F"&amp;C9</f>
        <v>F21</v>
      </c>
      <c r="D13" s="22" t="str">
        <f>"F"&amp;D9</f>
        <v>F21</v>
      </c>
      <c r="E13" s="21" t="s">
        <v>37</v>
      </c>
      <c r="F13" s="31">
        <f ca="1">ROUND(2*(F12-$C$7)/$C$8,0)/2+F11</f>
        <v>4045.5</v>
      </c>
    </row>
    <row r="14" spans="1:6" x14ac:dyDescent="0.2">
      <c r="A14" s="21" t="s">
        <v>31</v>
      </c>
      <c r="B14" s="21"/>
      <c r="C14" s="22" t="str">
        <f>"R"&amp;C9</f>
        <v>R21</v>
      </c>
      <c r="D14" s="22" t="str">
        <f>"S"&amp;D9</f>
        <v>S21</v>
      </c>
      <c r="E14" s="21" t="s">
        <v>38</v>
      </c>
      <c r="F14" s="32">
        <f ca="1">ROUND(2*(F12-$C$15)/$C$16,0)/2+F11</f>
        <v>629.5</v>
      </c>
    </row>
    <row r="15" spans="1:6" x14ac:dyDescent="0.2">
      <c r="A15" s="25" t="s">
        <v>16</v>
      </c>
      <c r="B15" s="23"/>
      <c r="C15" s="26">
        <f ca="1">($C7+C11)+($C8+C12)*INT(MAX($F21:$F3533))</f>
        <v>56515.504035038597</v>
      </c>
      <c r="D15" s="26" t="e">
        <f ca="1">($C7+D11)+($C8+D12)*INT(MAX($F21:$F3533))</f>
        <v>#DIV/0!</v>
      </c>
      <c r="E15" s="21" t="s">
        <v>39</v>
      </c>
      <c r="F15" s="33">
        <f ca="1">+$C$15+$C$16*F14-15018.5-$C$5/24</f>
        <v>45316.158213497067</v>
      </c>
    </row>
    <row r="16" spans="1:6" x14ac:dyDescent="0.2">
      <c r="A16" s="27" t="s">
        <v>4</v>
      </c>
      <c r="B16" s="23"/>
      <c r="C16" s="28">
        <f ca="1">+$C8+C12</f>
        <v>6.0663357349088702</v>
      </c>
      <c r="D16" s="24" t="e">
        <f ca="1">+$C8+D12</f>
        <v>#DIV/0!</v>
      </c>
      <c r="E16" s="34"/>
      <c r="F16" s="34" t="s">
        <v>34</v>
      </c>
    </row>
    <row r="17" spans="1:21" ht="13.5" thickBot="1" x14ac:dyDescent="0.25">
      <c r="A17" s="20" t="s">
        <v>28</v>
      </c>
      <c r="C17">
        <f>COUNT(C21:C1247)</f>
        <v>9</v>
      </c>
    </row>
    <row r="18" spans="1:21" ht="14.25" thickTop="1" thickBot="1" x14ac:dyDescent="0.25">
      <c r="A18" s="6" t="s">
        <v>22</v>
      </c>
      <c r="C18" s="3">
        <f ca="1">+C15</f>
        <v>56515.504035038597</v>
      </c>
      <c r="D18" s="4">
        <f ca="1">+C16</f>
        <v>6.0663357349088702</v>
      </c>
      <c r="E18" s="35">
        <f>R19</f>
        <v>8</v>
      </c>
    </row>
    <row r="19" spans="1:21" ht="14.25" thickTop="1" thickBot="1" x14ac:dyDescent="0.25">
      <c r="A19" s="6" t="s">
        <v>23</v>
      </c>
      <c r="C19" s="3" t="e">
        <f ca="1">+D15</f>
        <v>#DIV/0!</v>
      </c>
      <c r="D19" s="4" t="e">
        <f ca="1">+D16</f>
        <v>#DIV/0!</v>
      </c>
      <c r="E19" s="35">
        <f>S19</f>
        <v>0</v>
      </c>
      <c r="R19">
        <f>COUNT(R21:R322)</f>
        <v>8</v>
      </c>
      <c r="S19">
        <f>COUNT(S21:S322)</f>
        <v>0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26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  <c r="U20" s="57" t="s">
        <v>95</v>
      </c>
    </row>
    <row r="21" spans="1:21" x14ac:dyDescent="0.2">
      <c r="A21" s="51" t="s">
        <v>62</v>
      </c>
      <c r="B21" s="52" t="s">
        <v>43</v>
      </c>
      <c r="C21" s="51">
        <v>22586.491999999998</v>
      </c>
      <c r="D21" s="51" t="s">
        <v>54</v>
      </c>
      <c r="E21">
        <f t="shared" ref="E21:E29" si="0">+(C21-C$7)/C$8</f>
        <v>-2177.0000709984356</v>
      </c>
      <c r="F21">
        <f t="shared" ref="F21:F29" si="1">ROUND(2*E21,0)/2</f>
        <v>-2177</v>
      </c>
      <c r="G21">
        <f>+C21-(C$7+F21*C$8)</f>
        <v>-4.307000053813681E-4</v>
      </c>
      <c r="I21">
        <f>+G21</f>
        <v>-4.307000053813681E-4</v>
      </c>
      <c r="O21">
        <f ca="1">+C$11+C$12*$F21</f>
        <v>-4.1610067079937514E-3</v>
      </c>
      <c r="P21" t="e">
        <f ca="1">+D$11+D$12*$F21</f>
        <v>#DIV/0!</v>
      </c>
      <c r="Q21" s="2">
        <f t="shared" ref="Q21:Q29" si="2">+C21-15018.5</f>
        <v>7567.9919999999984</v>
      </c>
      <c r="R21">
        <f>G21</f>
        <v>-4.307000053813681E-4</v>
      </c>
    </row>
    <row r="22" spans="1:21" x14ac:dyDescent="0.2">
      <c r="A22" s="54" t="s">
        <v>67</v>
      </c>
      <c r="B22" s="52" t="s">
        <v>43</v>
      </c>
      <c r="C22" s="51">
        <v>25880.434000000001</v>
      </c>
      <c r="D22" s="51" t="s">
        <v>54</v>
      </c>
      <c r="E22">
        <f t="shared" si="0"/>
        <v>-1634.0125461998787</v>
      </c>
      <c r="F22">
        <f t="shared" si="1"/>
        <v>-1634</v>
      </c>
      <c r="O22">
        <f t="shared" ref="O22:O29" ca="1" si="3">+C$11+C$12*$F22</f>
        <v>-1.535651191486455E-3</v>
      </c>
      <c r="P22" t="e">
        <f t="shared" ref="P22:P29" ca="1" si="4">+D$11+D$12*$F22</f>
        <v>#DIV/0!</v>
      </c>
      <c r="Q22" s="2">
        <f t="shared" si="2"/>
        <v>10861.934000000001</v>
      </c>
      <c r="U22">
        <f>+C22-(C$7+F22*C$8)</f>
        <v>-7.610940000085975E-2</v>
      </c>
    </row>
    <row r="23" spans="1:21" x14ac:dyDescent="0.2">
      <c r="A23" s="54" t="s">
        <v>71</v>
      </c>
      <c r="B23" s="52" t="s">
        <v>43</v>
      </c>
      <c r="C23" s="51">
        <v>28834.812999999998</v>
      </c>
      <c r="D23" s="51" t="s">
        <v>54</v>
      </c>
      <c r="E23">
        <f t="shared" si="0"/>
        <v>-1147.0000424803738</v>
      </c>
      <c r="F23">
        <f t="shared" si="1"/>
        <v>-1147</v>
      </c>
      <c r="G23">
        <f t="shared" ref="G23:G29" si="5">+C23-(C$7+F23*C$8)</f>
        <v>-2.5770000502234325E-4</v>
      </c>
      <c r="I23">
        <f>+G23</f>
        <v>-2.5770000502234325E-4</v>
      </c>
      <c r="O23">
        <f t="shared" ca="1" si="3"/>
        <v>8.1894942829080844E-4</v>
      </c>
      <c r="P23" t="e">
        <f t="shared" ca="1" si="4"/>
        <v>#DIV/0!</v>
      </c>
      <c r="Q23" s="2">
        <f t="shared" si="2"/>
        <v>13816.312999999998</v>
      </c>
      <c r="R23">
        <f t="shared" ref="R23:R29" si="6">G23</f>
        <v>-2.5770000502234325E-4</v>
      </c>
    </row>
    <row r="24" spans="1:21" x14ac:dyDescent="0.2">
      <c r="A24" s="54" t="s">
        <v>71</v>
      </c>
      <c r="B24" s="52" t="s">
        <v>43</v>
      </c>
      <c r="C24" s="51">
        <v>32480.681</v>
      </c>
      <c r="D24" s="51" t="s">
        <v>54</v>
      </c>
      <c r="E24">
        <f t="shared" si="0"/>
        <v>-545.99952666611068</v>
      </c>
      <c r="F24">
        <f t="shared" si="1"/>
        <v>-546</v>
      </c>
      <c r="G24">
        <f t="shared" si="5"/>
        <v>2.8714000000036322E-3</v>
      </c>
      <c r="I24">
        <f>+G24</f>
        <v>2.8714000000036322E-3</v>
      </c>
      <c r="O24">
        <f t="shared" ca="1" si="3"/>
        <v>3.7247296592684987E-3</v>
      </c>
      <c r="P24" t="e">
        <f t="shared" ca="1" si="4"/>
        <v>#DIV/0!</v>
      </c>
      <c r="Q24" s="2">
        <f t="shared" si="2"/>
        <v>17462.181</v>
      </c>
      <c r="R24">
        <f t="shared" si="6"/>
        <v>2.8714000000036322E-3</v>
      </c>
    </row>
    <row r="25" spans="1:21" x14ac:dyDescent="0.2">
      <c r="A25" s="51" t="s">
        <v>71</v>
      </c>
      <c r="B25" s="52" t="s">
        <v>43</v>
      </c>
      <c r="C25" s="51">
        <v>32492.813999999998</v>
      </c>
      <c r="D25" s="51" t="s">
        <v>54</v>
      </c>
      <c r="E25">
        <f t="shared" si="0"/>
        <v>-543.9994709157728</v>
      </c>
      <c r="F25">
        <f t="shared" si="1"/>
        <v>-544</v>
      </c>
      <c r="G25">
        <f t="shared" si="5"/>
        <v>3.2095999958983157E-3</v>
      </c>
      <c r="I25">
        <f>+G25</f>
        <v>3.2095999958983157E-3</v>
      </c>
      <c r="O25">
        <f t="shared" ca="1" si="3"/>
        <v>3.7343994770088571E-3</v>
      </c>
      <c r="P25" t="e">
        <f t="shared" ca="1" si="4"/>
        <v>#DIV/0!</v>
      </c>
      <c r="Q25" s="2">
        <f t="shared" si="2"/>
        <v>17474.313999999998</v>
      </c>
      <c r="R25">
        <f t="shared" si="6"/>
        <v>3.2095999958983157E-3</v>
      </c>
    </row>
    <row r="26" spans="1:21" x14ac:dyDescent="0.2">
      <c r="A26" s="12" t="s">
        <v>11</v>
      </c>
      <c r="B26" s="12"/>
      <c r="C26" s="13">
        <f>C$7</f>
        <v>35792.894800000002</v>
      </c>
      <c r="D26" s="13" t="s">
        <v>27</v>
      </c>
      <c r="E26">
        <f t="shared" si="0"/>
        <v>0</v>
      </c>
      <c r="F26">
        <f t="shared" si="1"/>
        <v>0</v>
      </c>
      <c r="G26">
        <f t="shared" si="5"/>
        <v>0</v>
      </c>
      <c r="H26">
        <f>+G26</f>
        <v>0</v>
      </c>
      <c r="O26">
        <f t="shared" ca="1" si="3"/>
        <v>6.3645899023863335E-3</v>
      </c>
      <c r="P26" t="e">
        <f t="shared" ca="1" si="4"/>
        <v>#DIV/0!</v>
      </c>
      <c r="Q26" s="2">
        <f t="shared" si="2"/>
        <v>20774.394800000002</v>
      </c>
      <c r="R26">
        <f t="shared" si="6"/>
        <v>0</v>
      </c>
    </row>
    <row r="27" spans="1:21" x14ac:dyDescent="0.2">
      <c r="A27" s="51" t="s">
        <v>71</v>
      </c>
      <c r="B27" s="52" t="s">
        <v>43</v>
      </c>
      <c r="C27" s="51">
        <v>36860.580999999998</v>
      </c>
      <c r="D27" s="51" t="s">
        <v>54</v>
      </c>
      <c r="E27">
        <f t="shared" si="0"/>
        <v>176.00197180143874</v>
      </c>
      <c r="F27">
        <f t="shared" si="1"/>
        <v>176</v>
      </c>
      <c r="G27">
        <f t="shared" si="5"/>
        <v>1.1961599993810523E-2</v>
      </c>
      <c r="I27">
        <f>+G27</f>
        <v>1.1961599993810523E-2</v>
      </c>
      <c r="O27">
        <f t="shared" ca="1" si="3"/>
        <v>7.2155338635378702E-3</v>
      </c>
      <c r="P27" t="e">
        <f t="shared" ca="1" si="4"/>
        <v>#DIV/0!</v>
      </c>
      <c r="Q27" s="2">
        <f t="shared" si="2"/>
        <v>21842.080999999998</v>
      </c>
      <c r="R27">
        <f t="shared" si="6"/>
        <v>1.1961599993810523E-2</v>
      </c>
    </row>
    <row r="28" spans="1:21" x14ac:dyDescent="0.2">
      <c r="A28" s="55" t="s">
        <v>71</v>
      </c>
      <c r="B28" s="56" t="s">
        <v>43</v>
      </c>
      <c r="C28" s="53">
        <v>40063.599999999999</v>
      </c>
      <c r="D28" s="53" t="s">
        <v>54</v>
      </c>
      <c r="E28">
        <f t="shared" si="0"/>
        <v>704.00135937193875</v>
      </c>
      <c r="F28">
        <f t="shared" si="1"/>
        <v>704</v>
      </c>
      <c r="G28">
        <f t="shared" si="5"/>
        <v>8.2463999933679588E-3</v>
      </c>
      <c r="I28">
        <f>+G28</f>
        <v>8.2463999933679588E-3</v>
      </c>
      <c r="O28">
        <f t="shared" ca="1" si="3"/>
        <v>9.7683657469924794E-3</v>
      </c>
      <c r="P28" t="e">
        <f t="shared" ca="1" si="4"/>
        <v>#DIV/0!</v>
      </c>
      <c r="Q28" s="2">
        <f t="shared" si="2"/>
        <v>25045.1</v>
      </c>
      <c r="R28">
        <f t="shared" si="6"/>
        <v>8.2463999933679588E-3</v>
      </c>
    </row>
    <row r="29" spans="1:21" x14ac:dyDescent="0.2">
      <c r="A29" s="36" t="s">
        <v>42</v>
      </c>
      <c r="B29" s="37" t="s">
        <v>43</v>
      </c>
      <c r="C29" s="36">
        <v>56515.505899999996</v>
      </c>
      <c r="D29" s="36">
        <v>1.72E-3</v>
      </c>
      <c r="E29">
        <f t="shared" si="0"/>
        <v>3416.0040791708207</v>
      </c>
      <c r="F29">
        <f t="shared" si="1"/>
        <v>3416</v>
      </c>
      <c r="G29">
        <f t="shared" si="5"/>
        <v>2.4745599999732804E-2</v>
      </c>
      <c r="K29">
        <f>+G29</f>
        <v>2.4745599999732804E-2</v>
      </c>
      <c r="O29">
        <f t="shared" ca="1" si="3"/>
        <v>2.2880638602918429E-2</v>
      </c>
      <c r="P29" t="e">
        <f t="shared" ca="1" si="4"/>
        <v>#DIV/0!</v>
      </c>
      <c r="Q29" s="2">
        <f t="shared" si="2"/>
        <v>41497.005899999996</v>
      </c>
      <c r="R29">
        <f t="shared" si="6"/>
        <v>2.4745599999732804E-2</v>
      </c>
    </row>
    <row r="30" spans="1:21" x14ac:dyDescent="0.2">
      <c r="A30" s="14"/>
      <c r="B30" s="15"/>
      <c r="C30" s="13"/>
      <c r="D30" s="16"/>
      <c r="Q30" s="2"/>
    </row>
    <row r="31" spans="1:21" x14ac:dyDescent="0.2">
      <c r="A31" s="17"/>
      <c r="B31" s="18"/>
      <c r="C31" s="13"/>
      <c r="D31" s="13"/>
      <c r="Q31" s="2"/>
    </row>
    <row r="32" spans="1:21" x14ac:dyDescent="0.2">
      <c r="A32" s="17"/>
      <c r="B32" s="18"/>
      <c r="C32" s="13"/>
      <c r="D32" s="13"/>
      <c r="Q32" s="2"/>
    </row>
    <row r="33" spans="1:17" x14ac:dyDescent="0.2">
      <c r="A33" s="19"/>
      <c r="B33" s="15"/>
      <c r="C33" s="13"/>
      <c r="D33" s="16"/>
      <c r="Q33" s="2"/>
    </row>
    <row r="34" spans="1:17" x14ac:dyDescent="0.2">
      <c r="A34" s="19"/>
      <c r="B34" s="15"/>
      <c r="C34" s="13"/>
      <c r="D34" s="16"/>
      <c r="Q34" s="2"/>
    </row>
    <row r="35" spans="1:17" x14ac:dyDescent="0.2">
      <c r="A35" s="19"/>
      <c r="B35" s="15"/>
      <c r="C35" s="13"/>
      <c r="D35" s="16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3" sqref="A13:D19"/>
    </sheetView>
  </sheetViews>
  <sheetFormatPr defaultRowHeight="12.75" x14ac:dyDescent="0.2"/>
  <cols>
    <col min="1" max="1" width="19.7109375" style="16" customWidth="1"/>
    <col min="2" max="2" width="4.42578125" style="23" customWidth="1"/>
    <col min="3" max="3" width="12.7109375" style="16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6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38" t="s">
        <v>44</v>
      </c>
      <c r="I1" s="39" t="s">
        <v>45</v>
      </c>
      <c r="J1" s="40" t="s">
        <v>46</v>
      </c>
    </row>
    <row r="2" spans="1:16" x14ac:dyDescent="0.2">
      <c r="I2" s="41" t="s">
        <v>47</v>
      </c>
      <c r="J2" s="42" t="s">
        <v>48</v>
      </c>
    </row>
    <row r="3" spans="1:16" x14ac:dyDescent="0.2">
      <c r="A3" s="43" t="s">
        <v>49</v>
      </c>
      <c r="I3" s="41" t="s">
        <v>50</v>
      </c>
      <c r="J3" s="42" t="s">
        <v>51</v>
      </c>
    </row>
    <row r="4" spans="1:16" x14ac:dyDescent="0.2">
      <c r="I4" s="41" t="s">
        <v>52</v>
      </c>
      <c r="J4" s="42" t="s">
        <v>51</v>
      </c>
    </row>
    <row r="5" spans="1:16" ht="13.5" thickBot="1" x14ac:dyDescent="0.25">
      <c r="I5" s="44" t="s">
        <v>53</v>
      </c>
      <c r="J5" s="45" t="s">
        <v>54</v>
      </c>
    </row>
    <row r="10" spans="1:16" ht="13.5" thickBot="1" x14ac:dyDescent="0.25"/>
    <row r="11" spans="1:16" ht="12.75" customHeight="1" thickBot="1" x14ac:dyDescent="0.25">
      <c r="A11" s="16" t="str">
        <f t="shared" ref="A11:A19" si="0">P11</f>
        <v> APJS 7.351 </v>
      </c>
      <c r="B11" s="15" t="str">
        <f t="shared" ref="B11:B19" si="1">IF(H11=INT(H11),"I","II")</f>
        <v>I</v>
      </c>
      <c r="C11" s="16">
        <f t="shared" ref="C11:C19" si="2">1*G11</f>
        <v>35792.894800000002</v>
      </c>
      <c r="D11" s="23" t="str">
        <f t="shared" ref="D11:D19" si="3">VLOOKUP(F11,I$1:J$5,2,FALSE)</f>
        <v>vis</v>
      </c>
      <c r="E11" s="46">
        <f>VLOOKUP(C11,'Active 1'!C$21:E$973,3,FALSE)</f>
        <v>0</v>
      </c>
      <c r="F11" s="15" t="s">
        <v>53</v>
      </c>
      <c r="G11" s="23" t="str">
        <f t="shared" ref="G11:G19" si="4">MID(I11,3,LEN(I11)-3)</f>
        <v>35792.8948</v>
      </c>
      <c r="H11" s="16">
        <f t="shared" ref="H11:H19" si="5">1*K11</f>
        <v>0</v>
      </c>
      <c r="I11" s="47" t="s">
        <v>77</v>
      </c>
      <c r="J11" s="48" t="s">
        <v>78</v>
      </c>
      <c r="K11" s="47">
        <v>0</v>
      </c>
      <c r="L11" s="47" t="s">
        <v>79</v>
      </c>
      <c r="M11" s="48" t="s">
        <v>59</v>
      </c>
      <c r="N11" s="48" t="s">
        <v>60</v>
      </c>
      <c r="O11" s="49" t="s">
        <v>80</v>
      </c>
      <c r="P11" s="49" t="s">
        <v>81</v>
      </c>
    </row>
    <row r="12" spans="1:16" ht="12.75" customHeight="1" thickBot="1" x14ac:dyDescent="0.25">
      <c r="A12" s="16" t="str">
        <f t="shared" si="0"/>
        <v>IBVS 6114 </v>
      </c>
      <c r="B12" s="15" t="str">
        <f t="shared" si="1"/>
        <v>I</v>
      </c>
      <c r="C12" s="16">
        <f t="shared" si="2"/>
        <v>56515.505899999996</v>
      </c>
      <c r="D12" s="23" t="str">
        <f t="shared" si="3"/>
        <v>vis</v>
      </c>
      <c r="E12" s="46">
        <f>VLOOKUP(C12,'Active 1'!C$21:E$973,3,FALSE)</f>
        <v>3416.0040791708207</v>
      </c>
      <c r="F12" s="15" t="s">
        <v>53</v>
      </c>
      <c r="G12" s="23" t="str">
        <f t="shared" si="4"/>
        <v>56515.5059</v>
      </c>
      <c r="H12" s="16">
        <f t="shared" si="5"/>
        <v>3416</v>
      </c>
      <c r="I12" s="47" t="s">
        <v>89</v>
      </c>
      <c r="J12" s="48" t="s">
        <v>90</v>
      </c>
      <c r="K12" s="47">
        <v>3416</v>
      </c>
      <c r="L12" s="47" t="s">
        <v>91</v>
      </c>
      <c r="M12" s="48" t="s">
        <v>92</v>
      </c>
      <c r="N12" s="48" t="s">
        <v>43</v>
      </c>
      <c r="O12" s="49" t="s">
        <v>93</v>
      </c>
      <c r="P12" s="50" t="s">
        <v>94</v>
      </c>
    </row>
    <row r="13" spans="1:16" ht="12.75" customHeight="1" thickBot="1" x14ac:dyDescent="0.25">
      <c r="A13" s="16" t="str">
        <f t="shared" si="0"/>
        <v> APJ 54.81 </v>
      </c>
      <c r="B13" s="15" t="str">
        <f t="shared" si="1"/>
        <v>I</v>
      </c>
      <c r="C13" s="16">
        <f t="shared" si="2"/>
        <v>22586.491999999998</v>
      </c>
      <c r="D13" s="23" t="str">
        <f t="shared" si="3"/>
        <v>vis</v>
      </c>
      <c r="E13" s="46">
        <f>VLOOKUP(C13,'Active 1'!C$21:E$973,3,FALSE)</f>
        <v>-2177.0000709984356</v>
      </c>
      <c r="F13" s="15" t="s">
        <v>53</v>
      </c>
      <c r="G13" s="23" t="str">
        <f t="shared" si="4"/>
        <v>22586.492</v>
      </c>
      <c r="H13" s="16">
        <f t="shared" si="5"/>
        <v>-2177</v>
      </c>
      <c r="I13" s="47" t="s">
        <v>56</v>
      </c>
      <c r="J13" s="48" t="s">
        <v>57</v>
      </c>
      <c r="K13" s="47">
        <v>-2177</v>
      </c>
      <c r="L13" s="47" t="s">
        <v>58</v>
      </c>
      <c r="M13" s="48" t="s">
        <v>59</v>
      </c>
      <c r="N13" s="48" t="s">
        <v>60</v>
      </c>
      <c r="O13" s="49" t="s">
        <v>61</v>
      </c>
      <c r="P13" s="49" t="s">
        <v>62</v>
      </c>
    </row>
    <row r="14" spans="1:16" ht="12.75" customHeight="1" thickBot="1" x14ac:dyDescent="0.25">
      <c r="A14" s="16" t="str">
        <f t="shared" si="0"/>
        <v> BZ 38.82 </v>
      </c>
      <c r="B14" s="15" t="str">
        <f t="shared" si="1"/>
        <v>I</v>
      </c>
      <c r="C14" s="16">
        <f t="shared" si="2"/>
        <v>25880.434000000001</v>
      </c>
      <c r="D14" s="23" t="str">
        <f t="shared" si="3"/>
        <v>vis</v>
      </c>
      <c r="E14" s="46">
        <f>VLOOKUP(C14,'Active 1'!C$21:E$973,3,FALSE)</f>
        <v>-1634.0125461998787</v>
      </c>
      <c r="F14" s="15" t="s">
        <v>53</v>
      </c>
      <c r="G14" s="23" t="str">
        <f t="shared" si="4"/>
        <v>25880.434</v>
      </c>
      <c r="H14" s="16">
        <f t="shared" si="5"/>
        <v>-1634</v>
      </c>
      <c r="I14" s="47" t="s">
        <v>63</v>
      </c>
      <c r="J14" s="48" t="s">
        <v>64</v>
      </c>
      <c r="K14" s="47">
        <v>-1634</v>
      </c>
      <c r="L14" s="47" t="s">
        <v>65</v>
      </c>
      <c r="M14" s="48" t="s">
        <v>55</v>
      </c>
      <c r="N14" s="48"/>
      <c r="O14" s="49" t="s">
        <v>66</v>
      </c>
      <c r="P14" s="49" t="s">
        <v>67</v>
      </c>
    </row>
    <row r="15" spans="1:16" ht="12.75" customHeight="1" thickBot="1" x14ac:dyDescent="0.25">
      <c r="A15" s="16" t="str">
        <f t="shared" si="0"/>
        <v> AJ 76.559 </v>
      </c>
      <c r="B15" s="15" t="str">
        <f t="shared" si="1"/>
        <v>I</v>
      </c>
      <c r="C15" s="16">
        <f t="shared" si="2"/>
        <v>28834.812999999998</v>
      </c>
      <c r="D15" s="23" t="str">
        <f t="shared" si="3"/>
        <v>vis</v>
      </c>
      <c r="E15" s="46">
        <f>VLOOKUP(C15,'Active 1'!C$21:E$973,3,FALSE)</f>
        <v>-1147.0000424803738</v>
      </c>
      <c r="F15" s="15" t="s">
        <v>53</v>
      </c>
      <c r="G15" s="23" t="str">
        <f t="shared" si="4"/>
        <v>28834.813</v>
      </c>
      <c r="H15" s="16">
        <f t="shared" si="5"/>
        <v>-1147</v>
      </c>
      <c r="I15" s="47" t="s">
        <v>68</v>
      </c>
      <c r="J15" s="48" t="s">
        <v>69</v>
      </c>
      <c r="K15" s="47">
        <v>-1147</v>
      </c>
      <c r="L15" s="47" t="s">
        <v>58</v>
      </c>
      <c r="M15" s="48" t="s">
        <v>59</v>
      </c>
      <c r="N15" s="48" t="s">
        <v>60</v>
      </c>
      <c r="O15" s="49" t="s">
        <v>70</v>
      </c>
      <c r="P15" s="49" t="s">
        <v>71</v>
      </c>
    </row>
    <row r="16" spans="1:16" ht="12.75" customHeight="1" thickBot="1" x14ac:dyDescent="0.25">
      <c r="A16" s="16" t="str">
        <f t="shared" si="0"/>
        <v> AJ 76.559 </v>
      </c>
      <c r="B16" s="15" t="str">
        <f t="shared" si="1"/>
        <v>I</v>
      </c>
      <c r="C16" s="16">
        <f t="shared" si="2"/>
        <v>32480.681</v>
      </c>
      <c r="D16" s="23" t="str">
        <f t="shared" si="3"/>
        <v>vis</v>
      </c>
      <c r="E16" s="46">
        <f>VLOOKUP(C16,'Active 1'!C$21:E$973,3,FALSE)</f>
        <v>-545.99952666611068</v>
      </c>
      <c r="F16" s="15" t="s">
        <v>53</v>
      </c>
      <c r="G16" s="23" t="str">
        <f t="shared" si="4"/>
        <v>32480.681</v>
      </c>
      <c r="H16" s="16">
        <f t="shared" si="5"/>
        <v>-546</v>
      </c>
      <c r="I16" s="47" t="s">
        <v>72</v>
      </c>
      <c r="J16" s="48" t="s">
        <v>73</v>
      </c>
      <c r="K16" s="47">
        <v>-546</v>
      </c>
      <c r="L16" s="47" t="s">
        <v>74</v>
      </c>
      <c r="M16" s="48" t="s">
        <v>59</v>
      </c>
      <c r="N16" s="48" t="s">
        <v>60</v>
      </c>
      <c r="O16" s="49" t="s">
        <v>70</v>
      </c>
      <c r="P16" s="49" t="s">
        <v>71</v>
      </c>
    </row>
    <row r="17" spans="1:16" ht="12.75" customHeight="1" thickBot="1" x14ac:dyDescent="0.25">
      <c r="A17" s="16" t="str">
        <f t="shared" si="0"/>
        <v> AJ 76.559 </v>
      </c>
      <c r="B17" s="15" t="str">
        <f t="shared" si="1"/>
        <v>I</v>
      </c>
      <c r="C17" s="16">
        <f t="shared" si="2"/>
        <v>32492.813999999998</v>
      </c>
      <c r="D17" s="23" t="str">
        <f t="shared" si="3"/>
        <v>vis</v>
      </c>
      <c r="E17" s="46">
        <f>VLOOKUP(C17,'Active 1'!C$21:E$973,3,FALSE)</f>
        <v>-543.9994709157728</v>
      </c>
      <c r="F17" s="15" t="s">
        <v>53</v>
      </c>
      <c r="G17" s="23" t="str">
        <f t="shared" si="4"/>
        <v>32492.814</v>
      </c>
      <c r="H17" s="16">
        <f t="shared" si="5"/>
        <v>-544</v>
      </c>
      <c r="I17" s="47" t="s">
        <v>75</v>
      </c>
      <c r="J17" s="48" t="s">
        <v>76</v>
      </c>
      <c r="K17" s="47">
        <v>-544</v>
      </c>
      <c r="L17" s="47" t="s">
        <v>74</v>
      </c>
      <c r="M17" s="48" t="s">
        <v>59</v>
      </c>
      <c r="N17" s="48" t="s">
        <v>60</v>
      </c>
      <c r="O17" s="49" t="s">
        <v>70</v>
      </c>
      <c r="P17" s="49" t="s">
        <v>71</v>
      </c>
    </row>
    <row r="18" spans="1:16" ht="12.75" customHeight="1" thickBot="1" x14ac:dyDescent="0.25">
      <c r="A18" s="16" t="str">
        <f t="shared" si="0"/>
        <v> AJ 76.559 </v>
      </c>
      <c r="B18" s="15" t="str">
        <f t="shared" si="1"/>
        <v>I</v>
      </c>
      <c r="C18" s="16">
        <f t="shared" si="2"/>
        <v>36860.580999999998</v>
      </c>
      <c r="D18" s="23" t="str">
        <f t="shared" si="3"/>
        <v>vis</v>
      </c>
      <c r="E18" s="46">
        <f>VLOOKUP(C18,'Active 1'!C$21:E$973,3,FALSE)</f>
        <v>176.00197180143874</v>
      </c>
      <c r="F18" s="15" t="s">
        <v>53</v>
      </c>
      <c r="G18" s="23" t="str">
        <f t="shared" si="4"/>
        <v>36860.581</v>
      </c>
      <c r="H18" s="16">
        <f t="shared" si="5"/>
        <v>176</v>
      </c>
      <c r="I18" s="47" t="s">
        <v>82</v>
      </c>
      <c r="J18" s="48" t="s">
        <v>83</v>
      </c>
      <c r="K18" s="47">
        <v>176</v>
      </c>
      <c r="L18" s="47" t="s">
        <v>84</v>
      </c>
      <c r="M18" s="48" t="s">
        <v>59</v>
      </c>
      <c r="N18" s="48" t="s">
        <v>60</v>
      </c>
      <c r="O18" s="49" t="s">
        <v>70</v>
      </c>
      <c r="P18" s="49" t="s">
        <v>71</v>
      </c>
    </row>
    <row r="19" spans="1:16" ht="12.75" customHeight="1" thickBot="1" x14ac:dyDescent="0.25">
      <c r="A19" s="16" t="str">
        <f t="shared" si="0"/>
        <v> AJ 76.559 </v>
      </c>
      <c r="B19" s="15" t="str">
        <f t="shared" si="1"/>
        <v>I</v>
      </c>
      <c r="C19" s="16">
        <f t="shared" si="2"/>
        <v>40063.599999999999</v>
      </c>
      <c r="D19" s="23" t="str">
        <f t="shared" si="3"/>
        <v>vis</v>
      </c>
      <c r="E19" s="46">
        <f>VLOOKUP(C19,'Active 1'!C$21:E$973,3,FALSE)</f>
        <v>704.00135937193875</v>
      </c>
      <c r="F19" s="15" t="s">
        <v>53</v>
      </c>
      <c r="G19" s="23" t="str">
        <f t="shared" si="4"/>
        <v>40063.600</v>
      </c>
      <c r="H19" s="16">
        <f t="shared" si="5"/>
        <v>704</v>
      </c>
      <c r="I19" s="47" t="s">
        <v>85</v>
      </c>
      <c r="J19" s="48" t="s">
        <v>86</v>
      </c>
      <c r="K19" s="47">
        <v>704</v>
      </c>
      <c r="L19" s="47" t="s">
        <v>87</v>
      </c>
      <c r="M19" s="48" t="s">
        <v>59</v>
      </c>
      <c r="N19" s="48" t="s">
        <v>60</v>
      </c>
      <c r="O19" s="49" t="s">
        <v>88</v>
      </c>
      <c r="P19" s="49" t="s">
        <v>71</v>
      </c>
    </row>
    <row r="20" spans="1:16" x14ac:dyDescent="0.2">
      <c r="B20" s="15"/>
      <c r="F20" s="15"/>
    </row>
    <row r="21" spans="1:16" x14ac:dyDescent="0.2">
      <c r="B21" s="15"/>
      <c r="F21" s="15"/>
    </row>
    <row r="22" spans="1:16" x14ac:dyDescent="0.2">
      <c r="B22" s="15"/>
      <c r="F22" s="15"/>
    </row>
    <row r="23" spans="1:16" x14ac:dyDescent="0.2">
      <c r="B23" s="15"/>
      <c r="F23" s="15"/>
    </row>
    <row r="24" spans="1:16" x14ac:dyDescent="0.2">
      <c r="B24" s="15"/>
      <c r="F24" s="15"/>
    </row>
    <row r="25" spans="1:16" x14ac:dyDescent="0.2">
      <c r="B25" s="15"/>
      <c r="F25" s="15"/>
    </row>
    <row r="26" spans="1:16" x14ac:dyDescent="0.2">
      <c r="B26" s="15"/>
      <c r="F26" s="15"/>
    </row>
    <row r="27" spans="1:16" x14ac:dyDescent="0.2">
      <c r="B27" s="15"/>
      <c r="F27" s="15"/>
    </row>
    <row r="28" spans="1:16" x14ac:dyDescent="0.2">
      <c r="B28" s="15"/>
      <c r="F28" s="15"/>
    </row>
    <row r="29" spans="1:16" x14ac:dyDescent="0.2">
      <c r="B29" s="15"/>
      <c r="F29" s="15"/>
    </row>
    <row r="30" spans="1:16" x14ac:dyDescent="0.2">
      <c r="B30" s="15"/>
      <c r="F30" s="15"/>
    </row>
    <row r="31" spans="1:16" x14ac:dyDescent="0.2">
      <c r="B31" s="15"/>
      <c r="F31" s="15"/>
    </row>
    <row r="32" spans="1:16" x14ac:dyDescent="0.2">
      <c r="B32" s="15"/>
      <c r="F32" s="15"/>
    </row>
    <row r="33" spans="2:6" x14ac:dyDescent="0.2">
      <c r="B33" s="15"/>
      <c r="F33" s="15"/>
    </row>
    <row r="34" spans="2:6" x14ac:dyDescent="0.2">
      <c r="B34" s="15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</sheetData>
  <phoneticPr fontId="7" type="noConversion"/>
  <hyperlinks>
    <hyperlink ref="A3" r:id="rId1"/>
    <hyperlink ref="P12" r:id="rId2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2024-01-19T02:18:40Z</dcterms:modified>
</cp:coreProperties>
</file>