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77DD710-283A-41F6-943D-37102D2AA93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1" i="1"/>
  <c r="Q22" i="1"/>
  <c r="Q23" i="1"/>
  <c r="Q24" i="1"/>
  <c r="Q25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7" i="1"/>
  <c r="Q48" i="1"/>
  <c r="Q49" i="1"/>
  <c r="Q50" i="1"/>
  <c r="Q51" i="1"/>
  <c r="Q52" i="1"/>
  <c r="Q53" i="1"/>
  <c r="Q54" i="1"/>
  <c r="Q61" i="1"/>
  <c r="Q62" i="1"/>
  <c r="Q63" i="1"/>
  <c r="Q64" i="1"/>
  <c r="G52" i="2"/>
  <c r="C52" i="2"/>
  <c r="G51" i="2"/>
  <c r="C51" i="2"/>
  <c r="G50" i="2"/>
  <c r="C50" i="2"/>
  <c r="G49" i="2"/>
  <c r="C49" i="2"/>
  <c r="G21" i="2"/>
  <c r="C21" i="2"/>
  <c r="G20" i="2"/>
  <c r="C20" i="2"/>
  <c r="G19" i="2"/>
  <c r="C19" i="2"/>
  <c r="G18" i="2"/>
  <c r="C18" i="2"/>
  <c r="G17" i="2"/>
  <c r="C17" i="2"/>
  <c r="G16" i="2"/>
  <c r="C16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15" i="2"/>
  <c r="C15" i="2"/>
  <c r="G14" i="2"/>
  <c r="C14" i="2"/>
  <c r="G13" i="2"/>
  <c r="C13" i="2"/>
  <c r="G12" i="2"/>
  <c r="C12" i="2"/>
  <c r="G11" i="2"/>
  <c r="C1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E22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F17" i="1"/>
  <c r="C17" i="1"/>
  <c r="Q60" i="1"/>
  <c r="Q59" i="1"/>
  <c r="Q41" i="1"/>
  <c r="Q42" i="1"/>
  <c r="Q43" i="1"/>
  <c r="Q44" i="1"/>
  <c r="Q45" i="1"/>
  <c r="Q46" i="1"/>
  <c r="Q55" i="1"/>
  <c r="Q56" i="1"/>
  <c r="Q57" i="1"/>
  <c r="Q58" i="1"/>
  <c r="C8" i="1"/>
  <c r="C7" i="1"/>
  <c r="E21" i="1"/>
  <c r="F21" i="1"/>
  <c r="Q26" i="1"/>
  <c r="E34" i="2"/>
  <c r="E19" i="2"/>
  <c r="E55" i="1"/>
  <c r="F55" i="1"/>
  <c r="E58" i="1"/>
  <c r="F58" i="1"/>
  <c r="G58" i="1"/>
  <c r="J58" i="1"/>
  <c r="G62" i="1"/>
  <c r="K62" i="1"/>
  <c r="E54" i="1"/>
  <c r="F54" i="1"/>
  <c r="E40" i="1"/>
  <c r="F40" i="1"/>
  <c r="G34" i="1"/>
  <c r="I34" i="1"/>
  <c r="E32" i="1"/>
  <c r="F32" i="1"/>
  <c r="E23" i="1"/>
  <c r="F23" i="1"/>
  <c r="G23" i="1"/>
  <c r="I23" i="1"/>
  <c r="E43" i="1"/>
  <c r="F43" i="1"/>
  <c r="E26" i="1"/>
  <c r="F26" i="1"/>
  <c r="G53" i="1"/>
  <c r="I53" i="1"/>
  <c r="E51" i="1"/>
  <c r="F51" i="1"/>
  <c r="E37" i="1"/>
  <c r="F37" i="1"/>
  <c r="E29" i="1"/>
  <c r="F29" i="1"/>
  <c r="G29" i="1"/>
  <c r="H29" i="1"/>
  <c r="E60" i="1"/>
  <c r="F60" i="1"/>
  <c r="G60" i="1"/>
  <c r="J60" i="1"/>
  <c r="E62" i="1"/>
  <c r="F62" i="1"/>
  <c r="E48" i="1"/>
  <c r="F48" i="1"/>
  <c r="G48" i="1"/>
  <c r="I48" i="1"/>
  <c r="E34" i="1"/>
  <c r="F34" i="1"/>
  <c r="E25" i="1"/>
  <c r="F25" i="1"/>
  <c r="G25" i="1"/>
  <c r="I25" i="1"/>
  <c r="E46" i="1"/>
  <c r="F46" i="1"/>
  <c r="G46" i="1"/>
  <c r="I46" i="1"/>
  <c r="G59" i="1"/>
  <c r="J59" i="1"/>
  <c r="E57" i="1"/>
  <c r="F57" i="1"/>
  <c r="G57" i="1"/>
  <c r="J57" i="1"/>
  <c r="E53" i="1"/>
  <c r="F53" i="1"/>
  <c r="G47" i="1"/>
  <c r="I47" i="1"/>
  <c r="E39" i="1"/>
  <c r="F39" i="1"/>
  <c r="G39" i="1"/>
  <c r="H39" i="1"/>
  <c r="E31" i="1"/>
  <c r="F31" i="1"/>
  <c r="G31" i="1"/>
  <c r="H31" i="1"/>
  <c r="G24" i="1"/>
  <c r="H24" i="1"/>
  <c r="E22" i="1"/>
  <c r="F22" i="1"/>
  <c r="G22" i="1"/>
  <c r="I22" i="1"/>
  <c r="E42" i="1"/>
  <c r="F42" i="1"/>
  <c r="G42" i="1"/>
  <c r="I42" i="1"/>
  <c r="G56" i="1"/>
  <c r="J56" i="1"/>
  <c r="E64" i="1"/>
  <c r="F64" i="1"/>
  <c r="G64" i="1"/>
  <c r="K64" i="1"/>
  <c r="E50" i="1"/>
  <c r="F50" i="1"/>
  <c r="G50" i="1"/>
  <c r="I50" i="1"/>
  <c r="E36" i="1"/>
  <c r="F36" i="1"/>
  <c r="G36" i="1"/>
  <c r="H36" i="1"/>
  <c r="E28" i="1"/>
  <c r="F28" i="1"/>
  <c r="G28" i="1"/>
  <c r="I28" i="1"/>
  <c r="E45" i="1"/>
  <c r="F45" i="1"/>
  <c r="G45" i="1"/>
  <c r="J45" i="1"/>
  <c r="G41" i="1"/>
  <c r="I41" i="1"/>
  <c r="E59" i="1"/>
  <c r="F59" i="1"/>
  <c r="G63" i="1"/>
  <c r="K63" i="1"/>
  <c r="E61" i="1"/>
  <c r="F61" i="1"/>
  <c r="G61" i="1"/>
  <c r="K61" i="1"/>
  <c r="E47" i="1"/>
  <c r="F47" i="1"/>
  <c r="G35" i="1"/>
  <c r="I35" i="1"/>
  <c r="E33" i="1"/>
  <c r="F33" i="1"/>
  <c r="G33" i="1"/>
  <c r="H33" i="1"/>
  <c r="G27" i="1"/>
  <c r="I27" i="1"/>
  <c r="E24" i="1"/>
  <c r="F24" i="1"/>
  <c r="G21" i="1"/>
  <c r="I21" i="1"/>
  <c r="G55" i="1"/>
  <c r="I55" i="1"/>
  <c r="E44" i="1"/>
  <c r="F44" i="1"/>
  <c r="G44" i="1"/>
  <c r="I44" i="1"/>
  <c r="E56" i="1"/>
  <c r="F56" i="1"/>
  <c r="G54" i="1"/>
  <c r="I54" i="1"/>
  <c r="E52" i="1"/>
  <c r="F52" i="1"/>
  <c r="G52" i="1"/>
  <c r="I52" i="1"/>
  <c r="G40" i="1"/>
  <c r="H40" i="1"/>
  <c r="E38" i="1"/>
  <c r="F38" i="1"/>
  <c r="G38" i="1"/>
  <c r="H38" i="1"/>
  <c r="G32" i="1"/>
  <c r="H32" i="1"/>
  <c r="E30" i="1"/>
  <c r="F30" i="1"/>
  <c r="G30" i="1"/>
  <c r="I30" i="1"/>
  <c r="G43" i="1"/>
  <c r="I43" i="1"/>
  <c r="E41" i="1"/>
  <c r="F41" i="1"/>
  <c r="G26" i="1"/>
  <c r="E63" i="1"/>
  <c r="F63" i="1"/>
  <c r="G51" i="1"/>
  <c r="I51" i="1"/>
  <c r="E49" i="1"/>
  <c r="F49" i="1"/>
  <c r="G49" i="1"/>
  <c r="I49" i="1"/>
  <c r="G37" i="1"/>
  <c r="H37" i="1"/>
  <c r="E35" i="1"/>
  <c r="F35" i="1"/>
  <c r="E27" i="1"/>
  <c r="F27" i="1"/>
  <c r="E52" i="2"/>
  <c r="E44" i="2"/>
  <c r="E37" i="2"/>
  <c r="E43" i="2"/>
  <c r="E42" i="2"/>
  <c r="E51" i="2"/>
  <c r="E32" i="2"/>
  <c r="E35" i="2"/>
  <c r="E11" i="2"/>
  <c r="E45" i="2"/>
  <c r="E50" i="2"/>
  <c r="E21" i="2"/>
  <c r="E30" i="2"/>
  <c r="E29" i="2"/>
  <c r="H26" i="1"/>
  <c r="E14" i="2"/>
  <c r="E18" i="2"/>
  <c r="E16" i="2"/>
  <c r="E40" i="2"/>
  <c r="E24" i="2"/>
  <c r="E39" i="2"/>
  <c r="E13" i="2"/>
  <c r="E12" i="2"/>
  <c r="E48" i="2"/>
  <c r="E41" i="2"/>
  <c r="E33" i="2"/>
  <c r="E38" i="2"/>
  <c r="E36" i="2"/>
  <c r="E27" i="2"/>
  <c r="E46" i="2"/>
  <c r="E26" i="2"/>
  <c r="E31" i="2"/>
  <c r="E20" i="2"/>
  <c r="E28" i="2"/>
  <c r="E23" i="2"/>
  <c r="E49" i="2"/>
  <c r="E17" i="2"/>
  <c r="E25" i="2"/>
  <c r="E47" i="2"/>
  <c r="E15" i="2"/>
  <c r="C11" i="1"/>
  <c r="C12" i="1"/>
  <c r="C16" i="1" l="1"/>
  <c r="D18" i="1" s="1"/>
  <c r="O21" i="1"/>
  <c r="O55" i="1"/>
  <c r="O30" i="1"/>
  <c r="O47" i="1"/>
  <c r="O50" i="1"/>
  <c r="O25" i="1"/>
  <c r="O43" i="1"/>
  <c r="O58" i="1"/>
  <c r="O39" i="1"/>
  <c r="O59" i="1"/>
  <c r="O38" i="1"/>
  <c r="O61" i="1"/>
  <c r="O64" i="1"/>
  <c r="O34" i="1"/>
  <c r="O23" i="1"/>
  <c r="O52" i="1"/>
  <c r="O41" i="1"/>
  <c r="O44" i="1"/>
  <c r="O48" i="1"/>
  <c r="O32" i="1"/>
  <c r="O27" i="1"/>
  <c r="O46" i="1"/>
  <c r="O57" i="1"/>
  <c r="O22" i="1"/>
  <c r="O62" i="1"/>
  <c r="O40" i="1"/>
  <c r="O42" i="1"/>
  <c r="O37" i="1"/>
  <c r="O63" i="1"/>
  <c r="O28" i="1"/>
  <c r="O56" i="1"/>
  <c r="O36" i="1"/>
  <c r="C15" i="1"/>
  <c r="F18" i="1" s="1"/>
  <c r="O35" i="1"/>
  <c r="O26" i="1"/>
  <c r="O60" i="1"/>
  <c r="O31" i="1"/>
  <c r="O29" i="1"/>
  <c r="O54" i="1"/>
  <c r="O49" i="1"/>
  <c r="O24" i="1"/>
  <c r="O53" i="1"/>
  <c r="O51" i="1"/>
  <c r="O33" i="1"/>
  <c r="O45" i="1"/>
  <c r="C18" i="1" l="1"/>
  <c r="F19" i="1"/>
</calcChain>
</file>

<file path=xl/sharedStrings.xml><?xml version="1.0" encoding="utf-8"?>
<sst xmlns="http://schemas.openxmlformats.org/spreadsheetml/2006/main" count="476" uniqueCount="208">
  <si>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</si>
  <si>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</si>
  <si>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</si>
  <si>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</si>
  <si>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</si>
  <si>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</si>
  <si>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</si>
  <si>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</si>
  <si>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</si>
  <si>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</si>
  <si>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</si>
  <si>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</si>
  <si>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</si>
  <si>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</si>
  <si>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</si>
  <si>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</si>
  <si>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</si>
  <si>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</si>
  <si>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</si>
  <si>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</si>
  <si>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</si>
  <si>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</si>
  <si>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</si>
  <si>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</si>
  <si>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</si>
  <si>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</si>
  <si>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</si>
  <si>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</si>
  <si>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Ref:  Witney, B.S., 1959, AJ, 64, #1272, pp258-265</t>
  </si>
  <si>
    <t>EA</t>
  </si>
  <si>
    <t>Ref:  Wood, D.B. &amp; Forbes, J.E., 1963, AJ, 68, pp257-269</t>
  </si>
  <si>
    <t>Whitney, 1959</t>
  </si>
  <si>
    <t>Wood &amp; Forbes</t>
  </si>
  <si>
    <t>IBVS 4711</t>
  </si>
  <si>
    <t>I</t>
  </si>
  <si>
    <t>IBVS 5643</t>
  </si>
  <si>
    <t># of data points:</t>
  </si>
  <si>
    <t>EN Cas / gsc 4009-1963</t>
  </si>
  <si>
    <t>IBVS 5731</t>
  </si>
  <si>
    <t>IBVS 5802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</si>
  <si>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</si>
  <si>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</si>
  <si>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</si>
  <si>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</si>
  <si>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</si>
  <si>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</si>
  <si>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</si>
  <si>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</si>
  <si>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</si>
  <si>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</si>
  <si>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</si>
  <si>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</si>
  <si>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</si>
  <si>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</si>
  <si>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</si>
  <si>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</si>
  <si>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</si>
  <si>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</si>
  <si>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2415291.35 </t>
  </si>
  <si>
    <t> 28.09.1900 20:24 </t>
  </si>
  <si>
    <t> 0.34 </t>
  </si>
  <si>
    <t>P </t>
  </si>
  <si>
    <t> H.Gitz </t>
  </si>
  <si>
    <t> PZ 4.369 </t>
  </si>
  <si>
    <t>2416711.37 </t>
  </si>
  <si>
    <t> 18.08.1904 20:52 </t>
  </si>
  <si>
    <t> 0.28 </t>
  </si>
  <si>
    <t>2428573.20 </t>
  </si>
  <si>
    <t> 08.02.1937 16:48 </t>
  </si>
  <si>
    <t> 0.04 </t>
  </si>
  <si>
    <t> N.F.Florja </t>
  </si>
  <si>
    <t> PSMO 16.246 </t>
  </si>
  <si>
    <t>2428635.36 </t>
  </si>
  <si>
    <t> 11.04.1937 20:38 </t>
  </si>
  <si>
    <t> 0.07 </t>
  </si>
  <si>
    <t> C.Hoffmeister </t>
  </si>
  <si>
    <t> KVBB 28.66 </t>
  </si>
  <si>
    <t>2428728.40 </t>
  </si>
  <si>
    <t> 13.07.1937 21:36 </t>
  </si>
  <si>
    <t> -0.08 </t>
  </si>
  <si>
    <t>2428746.23 </t>
  </si>
  <si>
    <t> 31.07.1937 17:31 </t>
  </si>
  <si>
    <t> -0.00 </t>
  </si>
  <si>
    <t>2428755.18 </t>
  </si>
  <si>
    <t> 09.08.1937 16:19 </t>
  </si>
  <si>
    <t>2428808.49 </t>
  </si>
  <si>
    <t> 01.10.1937 23:45 </t>
  </si>
  <si>
    <t> 0.13 </t>
  </si>
  <si>
    <t>2429132.36 </t>
  </si>
  <si>
    <t> 21.08.1938 20:38 </t>
  </si>
  <si>
    <t> 0.05 </t>
  </si>
  <si>
    <t>2429194.49 </t>
  </si>
  <si>
    <t> 22.10.1938 23:45 </t>
  </si>
  <si>
    <t>2429243.27 </t>
  </si>
  <si>
    <t> 10.12.1938 18:28 </t>
  </si>
  <si>
    <t> 0.01 </t>
  </si>
  <si>
    <t>2429252.25 </t>
  </si>
  <si>
    <t> 19.12.1938 18:00 </t>
  </si>
  <si>
    <t> 0.12 </t>
  </si>
  <si>
    <t>2429456.27 </t>
  </si>
  <si>
    <t> 11.07.1939 18:28 </t>
  </si>
  <si>
    <t> 0.00 </t>
  </si>
  <si>
    <t>2429465.14 </t>
  </si>
  <si>
    <t> 20.07.1939 15:21 </t>
  </si>
  <si>
    <t>2429638.31 </t>
  </si>
  <si>
    <t> 09.01.1940 19:26 </t>
  </si>
  <si>
    <t> 0.09 </t>
  </si>
  <si>
    <t>2429691.40 </t>
  </si>
  <si>
    <t> 02.03.1940 21:36 </t>
  </si>
  <si>
    <t> -0.07 </t>
  </si>
  <si>
    <t>2429953.23 </t>
  </si>
  <si>
    <t> 19.11.1940 17:31 </t>
  </si>
  <si>
    <t>2429984.40 </t>
  </si>
  <si>
    <t> 20.12.1940 21:36 </t>
  </si>
  <si>
    <t>2430024.27 </t>
  </si>
  <si>
    <t> 29.01.1941 18:28 </t>
  </si>
  <si>
    <t> -0.03 </t>
  </si>
  <si>
    <t>2430725.451 </t>
  </si>
  <si>
    <t> 31.12.1942 22:49 </t>
  </si>
  <si>
    <t> -0.011 </t>
  </si>
  <si>
    <t> C.E.Southern </t>
  </si>
  <si>
    <t> AJ 64.260 </t>
  </si>
  <si>
    <t>2431404.431 </t>
  </si>
  <si>
    <t> 09.11.1944 22:20 </t>
  </si>
  <si>
    <t> -0.004 </t>
  </si>
  <si>
    <t>2432114.468 </t>
  </si>
  <si>
    <t> 20.10.1946 23:13 </t>
  </si>
  <si>
    <t> -0.005 </t>
  </si>
  <si>
    <t>2432806.776 </t>
  </si>
  <si>
    <t> 12.09.1948 06:37 </t>
  </si>
  <si>
    <t> 0.016 </t>
  </si>
  <si>
    <t>2434293.415 </t>
  </si>
  <si>
    <t> 07.10.1952 21:57 </t>
  </si>
  <si>
    <t> 0.013 </t>
  </si>
  <si>
    <t>2435034.338 </t>
  </si>
  <si>
    <t> 18.10.1954 20:06 </t>
  </si>
  <si>
    <t> -0.166 </t>
  </si>
  <si>
    <t> G.Romano </t>
  </si>
  <si>
    <t> MSAI 29.489 </t>
  </si>
  <si>
    <t>2435061.220 </t>
  </si>
  <si>
    <t> 14.11.1954 17:16 </t>
  </si>
  <si>
    <t> 0.089 </t>
  </si>
  <si>
    <t>2435132.300 </t>
  </si>
  <si>
    <t> 24.01.1955 19:12 </t>
  </si>
  <si>
    <t> 0.166 </t>
  </si>
  <si>
    <t>2435336.329 </t>
  </si>
  <si>
    <t> 16.08.1955 19:53 </t>
  </si>
  <si>
    <t> 0.059 </t>
  </si>
  <si>
    <t>2435367.379 </t>
  </si>
  <si>
    <t> 16.09.1955 21:05 </t>
  </si>
  <si>
    <t> 0.044 </t>
  </si>
  <si>
    <t>2435429.373 </t>
  </si>
  <si>
    <t> 17.11.1955 20:57 </t>
  </si>
  <si>
    <t> -0.090 </t>
  </si>
  <si>
    <t>2435691.408 </t>
  </si>
  <si>
    <t> 05.08.1956 21:47 </t>
  </si>
  <si>
    <t> 0.119 </t>
  </si>
  <si>
    <t>2435722.356 </t>
  </si>
  <si>
    <t> 05.09.1956 20:32 </t>
  </si>
  <si>
    <t> 0.002 </t>
  </si>
  <si>
    <t>2436485.647 </t>
  </si>
  <si>
    <t> 09.10.1958 03:31 </t>
  </si>
  <si>
    <t> 0.003 </t>
  </si>
  <si>
    <t>2450695.5156 </t>
  </si>
  <si>
    <t> 04.09.1997 00:22 </t>
  </si>
  <si>
    <t> 0.2375 </t>
  </si>
  <si>
    <t>E </t>
  </si>
  <si>
    <t>o</t>
  </si>
  <si>
    <t> W.Moschner </t>
  </si>
  <si>
    <t>BAVM 117 </t>
  </si>
  <si>
    <t>2450744.3272 </t>
  </si>
  <si>
    <t> 22.10.1997 19:51 </t>
  </si>
  <si>
    <t> 0.2339 </t>
  </si>
  <si>
    <t>2452954.3547 </t>
  </si>
  <si>
    <t> 10.11.2003 20:30 </t>
  </si>
  <si>
    <t> 0.2684 </t>
  </si>
  <si>
    <t> Moschner&amp;Frank </t>
  </si>
  <si>
    <t>BAVM 172 </t>
  </si>
  <si>
    <t>2453673.2776 </t>
  </si>
  <si>
    <t> 29.10.2005 18:39 </t>
  </si>
  <si>
    <t> 0.2779 </t>
  </si>
  <si>
    <t>C </t>
  </si>
  <si>
    <t>BAVM 178 </t>
  </si>
  <si>
    <t>2454192.4773 </t>
  </si>
  <si>
    <t> 01.04.2007 23:27 </t>
  </si>
  <si>
    <t> 0.2624 </t>
  </si>
  <si>
    <t> U.Schmidt </t>
  </si>
  <si>
    <t>BAVM 186 </t>
  </si>
  <si>
    <t>2454374.4475 </t>
  </si>
  <si>
    <t> 30.09.2007 22:44 </t>
  </si>
  <si>
    <t> 0.2854 </t>
  </si>
  <si>
    <t>-I</t>
  </si>
  <si>
    <t> F.Agerer </t>
  </si>
  <si>
    <t>BAVM 193 </t>
  </si>
  <si>
    <t>2455155.4759 </t>
  </si>
  <si>
    <t> 19.11.2009 23:25 </t>
  </si>
  <si>
    <t>5955</t>
  </si>
  <si>
    <t> 0.2721 </t>
  </si>
  <si>
    <t>BAVM 212 </t>
  </si>
  <si>
    <t>2455856.6264 </t>
  </si>
  <si>
    <t> 22.10.2011 03:02 </t>
  </si>
  <si>
    <t>6113</t>
  </si>
  <si>
    <t> 0.2601 </t>
  </si>
  <si>
    <t>BAVM 225 </t>
  </si>
  <si>
    <t>2455874.3730 </t>
  </si>
  <si>
    <t> 08.11.2011 20:57 </t>
  </si>
  <si>
    <t>6117</t>
  </si>
  <si>
    <t> 0.2558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</si>
</sst>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0"/>
      </left>
      <right/>
      <top style="thick">
        <color indexed="0"/>
      </top>
      <bottom style="thick">
        <color indexed="0"/>
      </bottom>
      <diagonal/>
    </border>
    <border>
      <left/>
      <right style="thick">
        <color indexed="0"/>
      </right>
      <top style="thick">
        <color indexed="0"/>
      </top>
      <bottom style="thick">
        <color indexed="0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left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5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2" borderId="13" xfId="0" applyFont="1" applyFill="1" applyBorder="1" applyAlignment="1">
      <alignment horizontal="left" vertical="top" wrapText="1" inden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right" vertical="top" wrapText="1"/>
    </xf>
    <xf numFmtId="0" fontId="15" fillId="2" borderId="13" xfId="7" applyFill="1" applyBorder="1" applyAlignment="1" applyProtection="1">
      <alignment horizontal="right" vertical="top" wrapText="1"/>
    </xf>
    <xf numFmtId="0" fontId="16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EN Cas - O-C Diagr.</a:t>
            </a:r>
          </a:p>
        </c:rich>
      </c:tx>
      <c:layout>
        <c:manualLayout>
          <c:xMode val="edge"/>
          <c:yMode val="edge"/>
          <c:x val="0.3853076611300648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43787220491723"/>
          <c:y val="0.14634168126798494"/>
          <c:w val="0.83058531568101379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-3028</c:v>
                </c:pt>
                <c:pt idx="1">
                  <c:v>-2708</c:v>
                </c:pt>
                <c:pt idx="2">
                  <c:v>-35</c:v>
                </c:pt>
                <c:pt idx="3">
                  <c:v>-21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6</c:v>
                </c:pt>
                <c:pt idx="8">
                  <c:v>18</c:v>
                </c:pt>
                <c:pt idx="9">
                  <c:v>91</c:v>
                </c:pt>
                <c:pt idx="10">
                  <c:v>105</c:v>
                </c:pt>
                <c:pt idx="11">
                  <c:v>116</c:v>
                </c:pt>
                <c:pt idx="12">
                  <c:v>118</c:v>
                </c:pt>
                <c:pt idx="13">
                  <c:v>164</c:v>
                </c:pt>
                <c:pt idx="14">
                  <c:v>166</c:v>
                </c:pt>
                <c:pt idx="15">
                  <c:v>205</c:v>
                </c:pt>
                <c:pt idx="16">
                  <c:v>217</c:v>
                </c:pt>
                <c:pt idx="17">
                  <c:v>276</c:v>
                </c:pt>
                <c:pt idx="18">
                  <c:v>283</c:v>
                </c:pt>
                <c:pt idx="19">
                  <c:v>292</c:v>
                </c:pt>
                <c:pt idx="20">
                  <c:v>450</c:v>
                </c:pt>
                <c:pt idx="21">
                  <c:v>603</c:v>
                </c:pt>
                <c:pt idx="22">
                  <c:v>763</c:v>
                </c:pt>
                <c:pt idx="23">
                  <c:v>919</c:v>
                </c:pt>
                <c:pt idx="24">
                  <c:v>1027</c:v>
                </c:pt>
                <c:pt idx="25">
                  <c:v>1254</c:v>
                </c:pt>
                <c:pt idx="26">
                  <c:v>1421</c:v>
                </c:pt>
                <c:pt idx="27">
                  <c:v>1427</c:v>
                </c:pt>
                <c:pt idx="28">
                  <c:v>1443</c:v>
                </c:pt>
                <c:pt idx="29">
                  <c:v>1489</c:v>
                </c:pt>
                <c:pt idx="30">
                  <c:v>1496</c:v>
                </c:pt>
                <c:pt idx="31">
                  <c:v>1510</c:v>
                </c:pt>
                <c:pt idx="32">
                  <c:v>1569</c:v>
                </c:pt>
                <c:pt idx="33">
                  <c:v>1576</c:v>
                </c:pt>
                <c:pt idx="34">
                  <c:v>1748</c:v>
                </c:pt>
                <c:pt idx="35">
                  <c:v>4950</c:v>
                </c:pt>
                <c:pt idx="36">
                  <c:v>4961</c:v>
                </c:pt>
                <c:pt idx="37">
                  <c:v>5459</c:v>
                </c:pt>
                <c:pt idx="38">
                  <c:v>5621</c:v>
                </c:pt>
                <c:pt idx="39">
                  <c:v>5738</c:v>
                </c:pt>
                <c:pt idx="40">
                  <c:v>5779</c:v>
                </c:pt>
                <c:pt idx="41">
                  <c:v>5955</c:v>
                </c:pt>
                <c:pt idx="42">
                  <c:v>6113</c:v>
                </c:pt>
                <c:pt idx="43">
                  <c:v>6117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3">
                  <c:v>7.2477000001526903E-2</c:v>
                </c:pt>
                <c:pt idx="5">
                  <c:v>0</c:v>
                </c:pt>
                <c:pt idx="8">
                  <c:v>0.13073400000212132</c:v>
                </c:pt>
                <c:pt idx="10">
                  <c:v>4.76150000031339E-2</c:v>
                </c:pt>
                <c:pt idx="11">
                  <c:v>1.2507999999797903E-2</c:v>
                </c:pt>
                <c:pt idx="12">
                  <c:v>0.11703399999896646</c:v>
                </c:pt>
                <c:pt idx="15">
                  <c:v>9.3915000001288718E-2</c:v>
                </c:pt>
                <c:pt idx="16">
                  <c:v>-6.8928999997297069E-2</c:v>
                </c:pt>
                <c:pt idx="17">
                  <c:v>-6.5411999999923864E-2</c:v>
                </c:pt>
                <c:pt idx="18">
                  <c:v>4.0429000000585802E-2</c:v>
                </c:pt>
                <c:pt idx="19">
                  <c:v>-2.9203999998571817E-2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79-4FA3-A4B4-5980C119B7C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Active!$D$22:$D$50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-3028</c:v>
                </c:pt>
                <c:pt idx="1">
                  <c:v>-2708</c:v>
                </c:pt>
                <c:pt idx="2">
                  <c:v>-35</c:v>
                </c:pt>
                <c:pt idx="3">
                  <c:v>-21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6</c:v>
                </c:pt>
                <c:pt idx="8">
                  <c:v>18</c:v>
                </c:pt>
                <c:pt idx="9">
                  <c:v>91</c:v>
                </c:pt>
                <c:pt idx="10">
                  <c:v>105</c:v>
                </c:pt>
                <c:pt idx="11">
                  <c:v>116</c:v>
                </c:pt>
                <c:pt idx="12">
                  <c:v>118</c:v>
                </c:pt>
                <c:pt idx="13">
                  <c:v>164</c:v>
                </c:pt>
                <c:pt idx="14">
                  <c:v>166</c:v>
                </c:pt>
                <c:pt idx="15">
                  <c:v>205</c:v>
                </c:pt>
                <c:pt idx="16">
                  <c:v>217</c:v>
                </c:pt>
                <c:pt idx="17">
                  <c:v>276</c:v>
                </c:pt>
                <c:pt idx="18">
                  <c:v>283</c:v>
                </c:pt>
                <c:pt idx="19">
                  <c:v>292</c:v>
                </c:pt>
                <c:pt idx="20">
                  <c:v>450</c:v>
                </c:pt>
                <c:pt idx="21">
                  <c:v>603</c:v>
                </c:pt>
                <c:pt idx="22">
                  <c:v>763</c:v>
                </c:pt>
                <c:pt idx="23">
                  <c:v>919</c:v>
                </c:pt>
                <c:pt idx="24">
                  <c:v>1027</c:v>
                </c:pt>
                <c:pt idx="25">
                  <c:v>1254</c:v>
                </c:pt>
                <c:pt idx="26">
                  <c:v>1421</c:v>
                </c:pt>
                <c:pt idx="27">
                  <c:v>1427</c:v>
                </c:pt>
                <c:pt idx="28">
                  <c:v>1443</c:v>
                </c:pt>
                <c:pt idx="29">
                  <c:v>1489</c:v>
                </c:pt>
                <c:pt idx="30">
                  <c:v>1496</c:v>
                </c:pt>
                <c:pt idx="31">
                  <c:v>1510</c:v>
                </c:pt>
                <c:pt idx="32">
                  <c:v>1569</c:v>
                </c:pt>
                <c:pt idx="33">
                  <c:v>1576</c:v>
                </c:pt>
                <c:pt idx="34">
                  <c:v>1748</c:v>
                </c:pt>
                <c:pt idx="35">
                  <c:v>4950</c:v>
                </c:pt>
                <c:pt idx="36">
                  <c:v>4961</c:v>
                </c:pt>
                <c:pt idx="37">
                  <c:v>5459</c:v>
                </c:pt>
                <c:pt idx="38">
                  <c:v>5621</c:v>
                </c:pt>
                <c:pt idx="39">
                  <c:v>5738</c:v>
                </c:pt>
                <c:pt idx="40">
                  <c:v>5779</c:v>
                </c:pt>
                <c:pt idx="41">
                  <c:v>5955</c:v>
                </c:pt>
                <c:pt idx="42">
                  <c:v>6113</c:v>
                </c:pt>
                <c:pt idx="43">
                  <c:v>6117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0.33763600000202132</c:v>
                </c:pt>
                <c:pt idx="1">
                  <c:v>0.2817959999993036</c:v>
                </c:pt>
                <c:pt idx="2">
                  <c:v>4.0795000000798609E-2</c:v>
                </c:pt>
                <c:pt idx="4">
                  <c:v>-7.9999999998108251E-2</c:v>
                </c:pt>
                <c:pt idx="6">
                  <c:v>-9.4800000078976154E-4</c:v>
                </c:pt>
                <c:pt idx="7">
                  <c:v>7.3577999999542953E-2</c:v>
                </c:pt>
                <c:pt idx="9">
                  <c:v>4.5933000001241453E-2</c:v>
                </c:pt>
                <c:pt idx="13">
                  <c:v>1.1320000012347009E-3</c:v>
                </c:pt>
                <c:pt idx="14">
                  <c:v>-4.3420000001788139E-3</c:v>
                </c:pt>
                <c:pt idx="20">
                  <c:v>-1.0650000000168802E-2</c:v>
                </c:pt>
                <c:pt idx="21">
                  <c:v>-4.4109999980719294E-3</c:v>
                </c:pt>
                <c:pt idx="22">
                  <c:v>-5.3310000002966262E-3</c:v>
                </c:pt>
                <c:pt idx="23">
                  <c:v>1.5696999995270744E-2</c:v>
                </c:pt>
                <c:pt idx="25">
                  <c:v>1.2802000004739966E-2</c:v>
                </c:pt>
                <c:pt idx="26">
                  <c:v>-0.16627699999662582</c:v>
                </c:pt>
                <c:pt idx="27">
                  <c:v>8.9300999999977648E-2</c:v>
                </c:pt>
                <c:pt idx="28">
                  <c:v>0.16550900000584079</c:v>
                </c:pt>
                <c:pt idx="29">
                  <c:v>5.8606999999028631E-2</c:v>
                </c:pt>
                <c:pt idx="30">
                  <c:v>4.4448000000556931E-2</c:v>
                </c:pt>
                <c:pt idx="31">
                  <c:v>-8.9870000003429595E-2</c:v>
                </c:pt>
                <c:pt idx="32">
                  <c:v>0.1186470000029658</c:v>
                </c:pt>
                <c:pt idx="33">
                  <c:v>2.4879999982658774E-3</c:v>
                </c:pt>
                <c:pt idx="34">
                  <c:v>2.723999998124782E-3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79-4FA3-A4B4-5980C119B7C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</c:numCache>
              </c:numRef>
            </c:plus>
            <c:minus>
              <c:numRef>
                <c:f>Active!$D$21:$D$50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-3028</c:v>
                </c:pt>
                <c:pt idx="1">
                  <c:v>-2708</c:v>
                </c:pt>
                <c:pt idx="2">
                  <c:v>-35</c:v>
                </c:pt>
                <c:pt idx="3">
                  <c:v>-21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6</c:v>
                </c:pt>
                <c:pt idx="8">
                  <c:v>18</c:v>
                </c:pt>
                <c:pt idx="9">
                  <c:v>91</c:v>
                </c:pt>
                <c:pt idx="10">
                  <c:v>105</c:v>
                </c:pt>
                <c:pt idx="11">
                  <c:v>116</c:v>
                </c:pt>
                <c:pt idx="12">
                  <c:v>118</c:v>
                </c:pt>
                <c:pt idx="13">
                  <c:v>164</c:v>
                </c:pt>
                <c:pt idx="14">
                  <c:v>166</c:v>
                </c:pt>
                <c:pt idx="15">
                  <c:v>205</c:v>
                </c:pt>
                <c:pt idx="16">
                  <c:v>217</c:v>
                </c:pt>
                <c:pt idx="17">
                  <c:v>276</c:v>
                </c:pt>
                <c:pt idx="18">
                  <c:v>283</c:v>
                </c:pt>
                <c:pt idx="19">
                  <c:v>292</c:v>
                </c:pt>
                <c:pt idx="20">
                  <c:v>450</c:v>
                </c:pt>
                <c:pt idx="21">
                  <c:v>603</c:v>
                </c:pt>
                <c:pt idx="22">
                  <c:v>763</c:v>
                </c:pt>
                <c:pt idx="23">
                  <c:v>919</c:v>
                </c:pt>
                <c:pt idx="24">
                  <c:v>1027</c:v>
                </c:pt>
                <c:pt idx="25">
                  <c:v>1254</c:v>
                </c:pt>
                <c:pt idx="26">
                  <c:v>1421</c:v>
                </c:pt>
                <c:pt idx="27">
                  <c:v>1427</c:v>
                </c:pt>
                <c:pt idx="28">
                  <c:v>1443</c:v>
                </c:pt>
                <c:pt idx="29">
                  <c:v>1489</c:v>
                </c:pt>
                <c:pt idx="30">
                  <c:v>1496</c:v>
                </c:pt>
                <c:pt idx="31">
                  <c:v>1510</c:v>
                </c:pt>
                <c:pt idx="32">
                  <c:v>1569</c:v>
                </c:pt>
                <c:pt idx="33">
                  <c:v>1576</c:v>
                </c:pt>
                <c:pt idx="34">
                  <c:v>1748</c:v>
                </c:pt>
                <c:pt idx="35">
                  <c:v>4950</c:v>
                </c:pt>
                <c:pt idx="36">
                  <c:v>4961</c:v>
                </c:pt>
                <c:pt idx="37">
                  <c:v>5459</c:v>
                </c:pt>
                <c:pt idx="38">
                  <c:v>5621</c:v>
                </c:pt>
                <c:pt idx="39">
                  <c:v>5738</c:v>
                </c:pt>
                <c:pt idx="40">
                  <c:v>5779</c:v>
                </c:pt>
                <c:pt idx="41">
                  <c:v>5955</c:v>
                </c:pt>
                <c:pt idx="42">
                  <c:v>6113</c:v>
                </c:pt>
                <c:pt idx="43">
                  <c:v>6117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4">
                  <c:v>1.5100000018719584E-4</c:v>
                </c:pt>
                <c:pt idx="35">
                  <c:v>0.23745000000053551</c:v>
                </c:pt>
                <c:pt idx="36">
                  <c:v>0.23394299999927171</c:v>
                </c:pt>
                <c:pt idx="37">
                  <c:v>0.2684170000065933</c:v>
                </c:pt>
                <c:pt idx="38">
                  <c:v>0.27792300000146497</c:v>
                </c:pt>
                <c:pt idx="39">
                  <c:v>0.26239399999758461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79-4FA3-A4B4-5980C119B7C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-3028</c:v>
                </c:pt>
                <c:pt idx="1">
                  <c:v>-2708</c:v>
                </c:pt>
                <c:pt idx="2">
                  <c:v>-35</c:v>
                </c:pt>
                <c:pt idx="3">
                  <c:v>-21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6</c:v>
                </c:pt>
                <c:pt idx="8">
                  <c:v>18</c:v>
                </c:pt>
                <c:pt idx="9">
                  <c:v>91</c:v>
                </c:pt>
                <c:pt idx="10">
                  <c:v>105</c:v>
                </c:pt>
                <c:pt idx="11">
                  <c:v>116</c:v>
                </c:pt>
                <c:pt idx="12">
                  <c:v>118</c:v>
                </c:pt>
                <c:pt idx="13">
                  <c:v>164</c:v>
                </c:pt>
                <c:pt idx="14">
                  <c:v>166</c:v>
                </c:pt>
                <c:pt idx="15">
                  <c:v>205</c:v>
                </c:pt>
                <c:pt idx="16">
                  <c:v>217</c:v>
                </c:pt>
                <c:pt idx="17">
                  <c:v>276</c:v>
                </c:pt>
                <c:pt idx="18">
                  <c:v>283</c:v>
                </c:pt>
                <c:pt idx="19">
                  <c:v>292</c:v>
                </c:pt>
                <c:pt idx="20">
                  <c:v>450</c:v>
                </c:pt>
                <c:pt idx="21">
                  <c:v>603</c:v>
                </c:pt>
                <c:pt idx="22">
                  <c:v>763</c:v>
                </c:pt>
                <c:pt idx="23">
                  <c:v>919</c:v>
                </c:pt>
                <c:pt idx="24">
                  <c:v>1027</c:v>
                </c:pt>
                <c:pt idx="25">
                  <c:v>1254</c:v>
                </c:pt>
                <c:pt idx="26">
                  <c:v>1421</c:v>
                </c:pt>
                <c:pt idx="27">
                  <c:v>1427</c:v>
                </c:pt>
                <c:pt idx="28">
                  <c:v>1443</c:v>
                </c:pt>
                <c:pt idx="29">
                  <c:v>1489</c:v>
                </c:pt>
                <c:pt idx="30">
                  <c:v>1496</c:v>
                </c:pt>
                <c:pt idx="31">
                  <c:v>1510</c:v>
                </c:pt>
                <c:pt idx="32">
                  <c:v>1569</c:v>
                </c:pt>
                <c:pt idx="33">
                  <c:v>1576</c:v>
                </c:pt>
                <c:pt idx="34">
                  <c:v>1748</c:v>
                </c:pt>
                <c:pt idx="35">
                  <c:v>4950</c:v>
                </c:pt>
                <c:pt idx="36">
                  <c:v>4961</c:v>
                </c:pt>
                <c:pt idx="37">
                  <c:v>5459</c:v>
                </c:pt>
                <c:pt idx="38">
                  <c:v>5621</c:v>
                </c:pt>
                <c:pt idx="39">
                  <c:v>5738</c:v>
                </c:pt>
                <c:pt idx="40">
                  <c:v>5779</c:v>
                </c:pt>
                <c:pt idx="41">
                  <c:v>5955</c:v>
                </c:pt>
                <c:pt idx="42">
                  <c:v>6113</c:v>
                </c:pt>
                <c:pt idx="43">
                  <c:v>6117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0">
                  <c:v>0.2853770000001532</c:v>
                </c:pt>
                <c:pt idx="41">
                  <c:v>0.27206499999738298</c:v>
                </c:pt>
                <c:pt idx="42">
                  <c:v>0.26011899999866728</c:v>
                </c:pt>
                <c:pt idx="43">
                  <c:v>0.25577100000373321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79-4FA3-A4B4-5980C119B7C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-3028</c:v>
                </c:pt>
                <c:pt idx="1">
                  <c:v>-2708</c:v>
                </c:pt>
                <c:pt idx="2">
                  <c:v>-35</c:v>
                </c:pt>
                <c:pt idx="3">
                  <c:v>-21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6</c:v>
                </c:pt>
                <c:pt idx="8">
                  <c:v>18</c:v>
                </c:pt>
                <c:pt idx="9">
                  <c:v>91</c:v>
                </c:pt>
                <c:pt idx="10">
                  <c:v>105</c:v>
                </c:pt>
                <c:pt idx="11">
                  <c:v>116</c:v>
                </c:pt>
                <c:pt idx="12">
                  <c:v>118</c:v>
                </c:pt>
                <c:pt idx="13">
                  <c:v>164</c:v>
                </c:pt>
                <c:pt idx="14">
                  <c:v>166</c:v>
                </c:pt>
                <c:pt idx="15">
                  <c:v>205</c:v>
                </c:pt>
                <c:pt idx="16">
                  <c:v>217</c:v>
                </c:pt>
                <c:pt idx="17">
                  <c:v>276</c:v>
                </c:pt>
                <c:pt idx="18">
                  <c:v>283</c:v>
                </c:pt>
                <c:pt idx="19">
                  <c:v>292</c:v>
                </c:pt>
                <c:pt idx="20">
                  <c:v>450</c:v>
                </c:pt>
                <c:pt idx="21">
                  <c:v>603</c:v>
                </c:pt>
                <c:pt idx="22">
                  <c:v>763</c:v>
                </c:pt>
                <c:pt idx="23">
                  <c:v>919</c:v>
                </c:pt>
                <c:pt idx="24">
                  <c:v>1027</c:v>
                </c:pt>
                <c:pt idx="25">
                  <c:v>1254</c:v>
                </c:pt>
                <c:pt idx="26">
                  <c:v>1421</c:v>
                </c:pt>
                <c:pt idx="27">
                  <c:v>1427</c:v>
                </c:pt>
                <c:pt idx="28">
                  <c:v>1443</c:v>
                </c:pt>
                <c:pt idx="29">
                  <c:v>1489</c:v>
                </c:pt>
                <c:pt idx="30">
                  <c:v>1496</c:v>
                </c:pt>
                <c:pt idx="31">
                  <c:v>1510</c:v>
                </c:pt>
                <c:pt idx="32">
                  <c:v>1569</c:v>
                </c:pt>
                <c:pt idx="33">
                  <c:v>1576</c:v>
                </c:pt>
                <c:pt idx="34">
                  <c:v>1748</c:v>
                </c:pt>
                <c:pt idx="35">
                  <c:v>4950</c:v>
                </c:pt>
                <c:pt idx="36">
                  <c:v>4961</c:v>
                </c:pt>
                <c:pt idx="37">
                  <c:v>5459</c:v>
                </c:pt>
                <c:pt idx="38">
                  <c:v>5621</c:v>
                </c:pt>
                <c:pt idx="39">
                  <c:v>5738</c:v>
                </c:pt>
                <c:pt idx="40">
                  <c:v>5779</c:v>
                </c:pt>
                <c:pt idx="41">
                  <c:v>5955</c:v>
                </c:pt>
                <c:pt idx="42">
                  <c:v>6113</c:v>
                </c:pt>
                <c:pt idx="43">
                  <c:v>6117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79-4FA3-A4B4-5980C119B7C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-3028</c:v>
                </c:pt>
                <c:pt idx="1">
                  <c:v>-2708</c:v>
                </c:pt>
                <c:pt idx="2">
                  <c:v>-35</c:v>
                </c:pt>
                <c:pt idx="3">
                  <c:v>-21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6</c:v>
                </c:pt>
                <c:pt idx="8">
                  <c:v>18</c:v>
                </c:pt>
                <c:pt idx="9">
                  <c:v>91</c:v>
                </c:pt>
                <c:pt idx="10">
                  <c:v>105</c:v>
                </c:pt>
                <c:pt idx="11">
                  <c:v>116</c:v>
                </c:pt>
                <c:pt idx="12">
                  <c:v>118</c:v>
                </c:pt>
                <c:pt idx="13">
                  <c:v>164</c:v>
                </c:pt>
                <c:pt idx="14">
                  <c:v>166</c:v>
                </c:pt>
                <c:pt idx="15">
                  <c:v>205</c:v>
                </c:pt>
                <c:pt idx="16">
                  <c:v>217</c:v>
                </c:pt>
                <c:pt idx="17">
                  <c:v>276</c:v>
                </c:pt>
                <c:pt idx="18">
                  <c:v>283</c:v>
                </c:pt>
                <c:pt idx="19">
                  <c:v>292</c:v>
                </c:pt>
                <c:pt idx="20">
                  <c:v>450</c:v>
                </c:pt>
                <c:pt idx="21">
                  <c:v>603</c:v>
                </c:pt>
                <c:pt idx="22">
                  <c:v>763</c:v>
                </c:pt>
                <c:pt idx="23">
                  <c:v>919</c:v>
                </c:pt>
                <c:pt idx="24">
                  <c:v>1027</c:v>
                </c:pt>
                <c:pt idx="25">
                  <c:v>1254</c:v>
                </c:pt>
                <c:pt idx="26">
                  <c:v>1421</c:v>
                </c:pt>
                <c:pt idx="27">
                  <c:v>1427</c:v>
                </c:pt>
                <c:pt idx="28">
                  <c:v>1443</c:v>
                </c:pt>
                <c:pt idx="29">
                  <c:v>1489</c:v>
                </c:pt>
                <c:pt idx="30">
                  <c:v>1496</c:v>
                </c:pt>
                <c:pt idx="31">
                  <c:v>1510</c:v>
                </c:pt>
                <c:pt idx="32">
                  <c:v>1569</c:v>
                </c:pt>
                <c:pt idx="33">
                  <c:v>1576</c:v>
                </c:pt>
                <c:pt idx="34">
                  <c:v>1748</c:v>
                </c:pt>
                <c:pt idx="35">
                  <c:v>4950</c:v>
                </c:pt>
                <c:pt idx="36">
                  <c:v>4961</c:v>
                </c:pt>
                <c:pt idx="37">
                  <c:v>5459</c:v>
                </c:pt>
                <c:pt idx="38">
                  <c:v>5621</c:v>
                </c:pt>
                <c:pt idx="39">
                  <c:v>5738</c:v>
                </c:pt>
                <c:pt idx="40">
                  <c:v>5779</c:v>
                </c:pt>
                <c:pt idx="41">
                  <c:v>5955</c:v>
                </c:pt>
                <c:pt idx="42">
                  <c:v>6113</c:v>
                </c:pt>
                <c:pt idx="43">
                  <c:v>6117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79-4FA3-A4B4-5980C119B7C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-3028</c:v>
                </c:pt>
                <c:pt idx="1">
                  <c:v>-2708</c:v>
                </c:pt>
                <c:pt idx="2">
                  <c:v>-35</c:v>
                </c:pt>
                <c:pt idx="3">
                  <c:v>-21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6</c:v>
                </c:pt>
                <c:pt idx="8">
                  <c:v>18</c:v>
                </c:pt>
                <c:pt idx="9">
                  <c:v>91</c:v>
                </c:pt>
                <c:pt idx="10">
                  <c:v>105</c:v>
                </c:pt>
                <c:pt idx="11">
                  <c:v>116</c:v>
                </c:pt>
                <c:pt idx="12">
                  <c:v>118</c:v>
                </c:pt>
                <c:pt idx="13">
                  <c:v>164</c:v>
                </c:pt>
                <c:pt idx="14">
                  <c:v>166</c:v>
                </c:pt>
                <c:pt idx="15">
                  <c:v>205</c:v>
                </c:pt>
                <c:pt idx="16">
                  <c:v>217</c:v>
                </c:pt>
                <c:pt idx="17">
                  <c:v>276</c:v>
                </c:pt>
                <c:pt idx="18">
                  <c:v>283</c:v>
                </c:pt>
                <c:pt idx="19">
                  <c:v>292</c:v>
                </c:pt>
                <c:pt idx="20">
                  <c:v>450</c:v>
                </c:pt>
                <c:pt idx="21">
                  <c:v>603</c:v>
                </c:pt>
                <c:pt idx="22">
                  <c:v>763</c:v>
                </c:pt>
                <c:pt idx="23">
                  <c:v>919</c:v>
                </c:pt>
                <c:pt idx="24">
                  <c:v>1027</c:v>
                </c:pt>
                <c:pt idx="25">
                  <c:v>1254</c:v>
                </c:pt>
                <c:pt idx="26">
                  <c:v>1421</c:v>
                </c:pt>
                <c:pt idx="27">
                  <c:v>1427</c:v>
                </c:pt>
                <c:pt idx="28">
                  <c:v>1443</c:v>
                </c:pt>
                <c:pt idx="29">
                  <c:v>1489</c:v>
                </c:pt>
                <c:pt idx="30">
                  <c:v>1496</c:v>
                </c:pt>
                <c:pt idx="31">
                  <c:v>1510</c:v>
                </c:pt>
                <c:pt idx="32">
                  <c:v>1569</c:v>
                </c:pt>
                <c:pt idx="33">
                  <c:v>1576</c:v>
                </c:pt>
                <c:pt idx="34">
                  <c:v>1748</c:v>
                </c:pt>
                <c:pt idx="35">
                  <c:v>4950</c:v>
                </c:pt>
                <c:pt idx="36">
                  <c:v>4961</c:v>
                </c:pt>
                <c:pt idx="37">
                  <c:v>5459</c:v>
                </c:pt>
                <c:pt idx="38">
                  <c:v>5621</c:v>
                </c:pt>
                <c:pt idx="39">
                  <c:v>5738</c:v>
                </c:pt>
                <c:pt idx="40">
                  <c:v>5779</c:v>
                </c:pt>
                <c:pt idx="41">
                  <c:v>5955</c:v>
                </c:pt>
                <c:pt idx="42">
                  <c:v>6113</c:v>
                </c:pt>
                <c:pt idx="43">
                  <c:v>6117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79-4FA3-A4B4-5980C119B7C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-3028</c:v>
                </c:pt>
                <c:pt idx="1">
                  <c:v>-2708</c:v>
                </c:pt>
                <c:pt idx="2">
                  <c:v>-35</c:v>
                </c:pt>
                <c:pt idx="3">
                  <c:v>-21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6</c:v>
                </c:pt>
                <c:pt idx="8">
                  <c:v>18</c:v>
                </c:pt>
                <c:pt idx="9">
                  <c:v>91</c:v>
                </c:pt>
                <c:pt idx="10">
                  <c:v>105</c:v>
                </c:pt>
                <c:pt idx="11">
                  <c:v>116</c:v>
                </c:pt>
                <c:pt idx="12">
                  <c:v>118</c:v>
                </c:pt>
                <c:pt idx="13">
                  <c:v>164</c:v>
                </c:pt>
                <c:pt idx="14">
                  <c:v>166</c:v>
                </c:pt>
                <c:pt idx="15">
                  <c:v>205</c:v>
                </c:pt>
                <c:pt idx="16">
                  <c:v>217</c:v>
                </c:pt>
                <c:pt idx="17">
                  <c:v>276</c:v>
                </c:pt>
                <c:pt idx="18">
                  <c:v>283</c:v>
                </c:pt>
                <c:pt idx="19">
                  <c:v>292</c:v>
                </c:pt>
                <c:pt idx="20">
                  <c:v>450</c:v>
                </c:pt>
                <c:pt idx="21">
                  <c:v>603</c:v>
                </c:pt>
                <c:pt idx="22">
                  <c:v>763</c:v>
                </c:pt>
                <c:pt idx="23">
                  <c:v>919</c:v>
                </c:pt>
                <c:pt idx="24">
                  <c:v>1027</c:v>
                </c:pt>
                <c:pt idx="25">
                  <c:v>1254</c:v>
                </c:pt>
                <c:pt idx="26">
                  <c:v>1421</c:v>
                </c:pt>
                <c:pt idx="27">
                  <c:v>1427</c:v>
                </c:pt>
                <c:pt idx="28">
                  <c:v>1443</c:v>
                </c:pt>
                <c:pt idx="29">
                  <c:v>1489</c:v>
                </c:pt>
                <c:pt idx="30">
                  <c:v>1496</c:v>
                </c:pt>
                <c:pt idx="31">
                  <c:v>1510</c:v>
                </c:pt>
                <c:pt idx="32">
                  <c:v>1569</c:v>
                </c:pt>
                <c:pt idx="33">
                  <c:v>1576</c:v>
                </c:pt>
                <c:pt idx="34">
                  <c:v>1748</c:v>
                </c:pt>
                <c:pt idx="35">
                  <c:v>4950</c:v>
                </c:pt>
                <c:pt idx="36">
                  <c:v>4961</c:v>
                </c:pt>
                <c:pt idx="37">
                  <c:v>5459</c:v>
                </c:pt>
                <c:pt idx="38">
                  <c:v>5621</c:v>
                </c:pt>
                <c:pt idx="39">
                  <c:v>5738</c:v>
                </c:pt>
                <c:pt idx="40">
                  <c:v>5779</c:v>
                </c:pt>
                <c:pt idx="41">
                  <c:v>5955</c:v>
                </c:pt>
                <c:pt idx="42">
                  <c:v>6113</c:v>
                </c:pt>
                <c:pt idx="43">
                  <c:v>6117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-0.14263225753334277</c:v>
                </c:pt>
                <c:pt idx="1">
                  <c:v>-0.12820752402437402</c:v>
                </c:pt>
                <c:pt idx="2">
                  <c:v>-7.715921932269376E-3</c:v>
                </c:pt>
                <c:pt idx="3">
                  <c:v>-7.0848398412519933E-3</c:v>
                </c:pt>
                <c:pt idx="4">
                  <c:v>-6.1382167047259184E-3</c:v>
                </c:pt>
                <c:pt idx="5">
                  <c:v>-6.1382167047259184E-3</c:v>
                </c:pt>
                <c:pt idx="6">
                  <c:v>-5.9579075358638092E-3</c:v>
                </c:pt>
                <c:pt idx="7">
                  <c:v>-5.8677529514327541E-3</c:v>
                </c:pt>
                <c:pt idx="8">
                  <c:v>-5.3268254448464256E-3</c:v>
                </c:pt>
                <c:pt idx="9">
                  <c:v>-2.0361831131129283E-3</c:v>
                </c:pt>
                <c:pt idx="10">
                  <c:v>-1.4051010220955448E-3</c:v>
                </c:pt>
                <c:pt idx="11">
                  <c:v>-9.092508077247442E-4</c:v>
                </c:pt>
                <c:pt idx="12">
                  <c:v>-8.1909622329368915E-4</c:v>
                </c:pt>
                <c:pt idx="13">
                  <c:v>1.2544592186205699E-3</c:v>
                </c:pt>
                <c:pt idx="14">
                  <c:v>1.344613803051624E-3</c:v>
                </c:pt>
                <c:pt idx="15">
                  <c:v>3.1026281994571917E-3</c:v>
                </c:pt>
                <c:pt idx="16">
                  <c:v>3.6435557060435202E-3</c:v>
                </c:pt>
                <c:pt idx="17">
                  <c:v>6.303115946759634E-3</c:v>
                </c:pt>
                <c:pt idx="18">
                  <c:v>6.6186569922683253E-3</c:v>
                </c:pt>
                <c:pt idx="19">
                  <c:v>7.0243526222080726E-3</c:v>
                </c:pt>
                <c:pt idx="20">
                  <c:v>1.4146564792261396E-2</c:v>
                </c:pt>
                <c:pt idx="21">
                  <c:v>2.1043390501237082E-2</c:v>
                </c:pt>
                <c:pt idx="22">
                  <c:v>2.8255757255721464E-2</c:v>
                </c:pt>
                <c:pt idx="23">
                  <c:v>3.5287814841343731E-2</c:v>
                </c:pt>
                <c:pt idx="24">
                  <c:v>4.0156162400620685E-2</c:v>
                </c:pt>
                <c:pt idx="25">
                  <c:v>5.0388707733545396E-2</c:v>
                </c:pt>
                <c:pt idx="26">
                  <c:v>5.7916615533538468E-2</c:v>
                </c:pt>
                <c:pt idx="27">
                  <c:v>5.8187079286831631E-2</c:v>
                </c:pt>
                <c:pt idx="28">
                  <c:v>5.8908315962280064E-2</c:v>
                </c:pt>
                <c:pt idx="29">
                  <c:v>6.0981871404194324E-2</c:v>
                </c:pt>
                <c:pt idx="30">
                  <c:v>6.129741244970302E-2</c:v>
                </c:pt>
                <c:pt idx="31">
                  <c:v>6.19284945407204E-2</c:v>
                </c:pt>
                <c:pt idx="32">
                  <c:v>6.4588054781436519E-2</c:v>
                </c:pt>
                <c:pt idx="33">
                  <c:v>6.4903595826945215E-2</c:v>
                </c:pt>
                <c:pt idx="34">
                  <c:v>7.2656890088015916E-2</c:v>
                </c:pt>
                <c:pt idx="35">
                  <c:v>0.21699437976213454</c:v>
                </c:pt>
                <c:pt idx="36">
                  <c:v>0.21749022997650533</c:v>
                </c:pt>
                <c:pt idx="37">
                  <c:v>0.23993872149983797</c:v>
                </c:pt>
                <c:pt idx="38">
                  <c:v>0.24724124283875343</c:v>
                </c:pt>
                <c:pt idx="39">
                  <c:v>0.25251528602797008</c:v>
                </c:pt>
                <c:pt idx="40">
                  <c:v>0.25436345500880675</c:v>
                </c:pt>
                <c:pt idx="41">
                  <c:v>0.26229705843873952</c:v>
                </c:pt>
                <c:pt idx="42">
                  <c:v>0.26941927060879284</c:v>
                </c:pt>
                <c:pt idx="43">
                  <c:v>0.26959957977765497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79-4FA3-A4B4-5980C119B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638048"/>
        <c:axId val="1"/>
      </c:scatterChart>
      <c:valAx>
        <c:axId val="535638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7394452380108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7526236881559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638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88321587237876"/>
          <c:y val="0.92073298764483702"/>
          <c:w val="0.6131938755031933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104775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9A2130-C6BC-FD8E-16C8-BFB9C8655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2" TargetMode="External"/><Relationship Id="rId3" Type="http://schemas.openxmlformats.org/officeDocument/2006/relationships/hyperlink" Target="http://www.bav-astro.de/sfs/BAVM_link.php?BAVMnr=117" TargetMode="External"/><Relationship Id="rId7" Type="http://schemas.openxmlformats.org/officeDocument/2006/relationships/hyperlink" Target="http://www.bav-astro.de/sfs/BAVM_link.php?BAVMnr=193" TargetMode="External"/><Relationship Id="rId2" Type="http://schemas.openxmlformats.org/officeDocument/2006/relationships/hyperlink" Target="http://www.bav-astro.de/sfs/BAVM_link.php?BAVMnr=117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186" TargetMode="External"/><Relationship Id="rId5" Type="http://schemas.openxmlformats.org/officeDocument/2006/relationships/hyperlink" Target="http://www.bav-astro.de/sfs/BAVM_link.php?BAVMnr=178" TargetMode="External"/><Relationship Id="rId10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172" TargetMode="External"/><Relationship Id="rId9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tabSelected="1" workbookViewId="0">
      <pane xSplit="14" ySplit="21" topLeftCell="O43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x14ac:dyDescent="0.2">
      <c r="A2" t="s">
        <v>24</v>
      </c>
      <c r="B2" t="s">
        <v>29</v>
      </c>
      <c r="C2" t="s">
        <v>28</v>
      </c>
    </row>
    <row r="3" spans="1:6" ht="13.5" thickBot="1" x14ac:dyDescent="0.25">
      <c r="C3" t="s">
        <v>30</v>
      </c>
    </row>
    <row r="4" spans="1:6" ht="14.25" thickTop="1" thickBot="1" x14ac:dyDescent="0.25">
      <c r="A4" s="5" t="s">
        <v>0</v>
      </c>
      <c r="C4" s="8">
        <v>28728.48</v>
      </c>
      <c r="D4" s="9">
        <v>4.4377370000000003</v>
      </c>
    </row>
    <row r="5" spans="1:6" ht="13.5" thickTop="1" x14ac:dyDescent="0.2">
      <c r="A5" s="17" t="s">
        <v>40</v>
      </c>
      <c r="B5" s="12"/>
      <c r="C5" s="18">
        <v>-9.5</v>
      </c>
      <c r="D5" s="12" t="s">
        <v>41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28728.48</v>
      </c>
    </row>
    <row r="8" spans="1:6" x14ac:dyDescent="0.2">
      <c r="A8" t="s">
        <v>3</v>
      </c>
      <c r="C8">
        <f>+D4</f>
        <v>4.4377370000000003</v>
      </c>
    </row>
    <row r="9" spans="1:6" x14ac:dyDescent="0.2">
      <c r="A9" s="31" t="s">
        <v>45</v>
      </c>
      <c r="B9" s="32">
        <v>26</v>
      </c>
      <c r="C9" s="29" t="str">
        <f>"F"&amp;B9</f>
        <v>F26</v>
      </c>
      <c r="D9" s="30" t="str">
        <f>"G"&amp;B9</f>
        <v>G26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8">
        <f ca="1">INTERCEPT(INDIRECT($D$9):G992,INDIRECT($C$9):F992)</f>
        <v>-6.1382167047259184E-3</v>
      </c>
      <c r="D11" s="3"/>
      <c r="E11" s="12"/>
    </row>
    <row r="12" spans="1:6" x14ac:dyDescent="0.2">
      <c r="A12" s="12" t="s">
        <v>17</v>
      </c>
      <c r="B12" s="12"/>
      <c r="C12" s="28">
        <f ca="1">SLOPE(INDIRECT($D$9):G992,INDIRECT($C$9):F992)</f>
        <v>4.5077292215527365E-5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9" t="s">
        <v>18</v>
      </c>
      <c r="B15" s="12"/>
      <c r="C15" s="20">
        <f ca="1">(C7+C11)+(C8+C12)*INT(MAX(F21:F3533))</f>
        <v>55874.38682857978</v>
      </c>
      <c r="E15" s="3"/>
      <c r="F15" s="12"/>
    </row>
    <row r="16" spans="1:6" x14ac:dyDescent="0.2">
      <c r="A16" s="23" t="s">
        <v>4</v>
      </c>
      <c r="B16" s="12"/>
      <c r="C16" s="24">
        <f ca="1">+C8+C12</f>
        <v>4.4377820772922156</v>
      </c>
      <c r="E16" s="12"/>
      <c r="F16" s="12"/>
    </row>
    <row r="17" spans="1:17" ht="13.5" thickBot="1" x14ac:dyDescent="0.25">
      <c r="A17" s="21" t="s">
        <v>36</v>
      </c>
      <c r="B17" s="12"/>
      <c r="C17" s="12">
        <f>COUNT(C21:C2191)</f>
        <v>44</v>
      </c>
      <c r="E17" s="21" t="s">
        <v>42</v>
      </c>
      <c r="F17" s="22">
        <f ca="1">TODAY()+15018.5-B5/24</f>
        <v>60328.5</v>
      </c>
    </row>
    <row r="18" spans="1:17" ht="14.25" thickTop="1" thickBot="1" x14ac:dyDescent="0.25">
      <c r="A18" s="23" t="s">
        <v>5</v>
      </c>
      <c r="B18" s="12"/>
      <c r="C18" s="26">
        <f ca="1">+C15</f>
        <v>55874.38682857978</v>
      </c>
      <c r="D18" s="27">
        <f ca="1">+C16</f>
        <v>4.4377820772922156</v>
      </c>
      <c r="E18" s="21" t="s">
        <v>43</v>
      </c>
      <c r="F18" s="22">
        <f ca="1">ROUND(2*(F17-C15)/C16,0)/2+1</f>
        <v>1004.5</v>
      </c>
    </row>
    <row r="19" spans="1:17" ht="13.5" thickTop="1" x14ac:dyDescent="0.2">
      <c r="E19" s="21" t="s">
        <v>44</v>
      </c>
      <c r="F19" s="25">
        <f ca="1">+C15+C16*F18-15018.5-C5/24</f>
        <v>45314.034758553149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53</v>
      </c>
      <c r="I20" s="7" t="s">
        <v>56</v>
      </c>
      <c r="J20" s="7" t="s">
        <v>50</v>
      </c>
      <c r="K20" s="7" t="s">
        <v>48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46" t="s">
        <v>63</v>
      </c>
      <c r="B21" s="48" t="s">
        <v>34</v>
      </c>
      <c r="C21" s="47">
        <v>15291.35</v>
      </c>
      <c r="D21" s="47" t="s">
        <v>56</v>
      </c>
      <c r="E21">
        <f t="shared" ref="E21:E64" si="0">+(C21-C$7)/C$8</f>
        <v>-3027.923917077555</v>
      </c>
      <c r="F21">
        <f t="shared" ref="F21:F64" si="1">ROUND(2*E21,0)/2</f>
        <v>-3028</v>
      </c>
      <c r="G21">
        <f t="shared" ref="G21:G64" si="2">+C21-(C$7+F21*C$8)</f>
        <v>0.33763600000202132</v>
      </c>
      <c r="I21">
        <f>+G21</f>
        <v>0.33763600000202132</v>
      </c>
      <c r="O21">
        <f t="shared" ref="O21:O64" ca="1" si="3">+C$11+C$12*F21</f>
        <v>-0.14263225753334277</v>
      </c>
      <c r="Q21" s="2">
        <f t="shared" ref="Q21:Q64" si="4">+C21-15018.5</f>
        <v>272.85000000000036</v>
      </c>
    </row>
    <row r="22" spans="1:17" x14ac:dyDescent="0.2">
      <c r="A22" s="46" t="s">
        <v>63</v>
      </c>
      <c r="B22" s="48" t="s">
        <v>34</v>
      </c>
      <c r="C22" s="47">
        <v>16711.37</v>
      </c>
      <c r="D22" s="47" t="s">
        <v>56</v>
      </c>
      <c r="E22">
        <f t="shared" si="0"/>
        <v>-2707.9365000674893</v>
      </c>
      <c r="F22">
        <f t="shared" si="1"/>
        <v>-2708</v>
      </c>
      <c r="G22">
        <f t="shared" si="2"/>
        <v>0.2817959999993036</v>
      </c>
      <c r="I22">
        <f>+G22</f>
        <v>0.2817959999993036</v>
      </c>
      <c r="O22">
        <f t="shared" ca="1" si="3"/>
        <v>-0.12820752402437402</v>
      </c>
      <c r="Q22" s="2">
        <f t="shared" si="4"/>
        <v>1692.869999999999</v>
      </c>
    </row>
    <row r="23" spans="1:17" x14ac:dyDescent="0.2">
      <c r="A23" s="47" t="s">
        <v>71</v>
      </c>
      <c r="B23" s="48" t="s">
        <v>34</v>
      </c>
      <c r="C23" s="47">
        <v>28573.200000000001</v>
      </c>
      <c r="D23" s="47" t="s">
        <v>56</v>
      </c>
      <c r="E23">
        <f t="shared" si="0"/>
        <v>-34.990807251533568</v>
      </c>
      <c r="F23">
        <f t="shared" si="1"/>
        <v>-35</v>
      </c>
      <c r="G23">
        <f t="shared" si="2"/>
        <v>4.0795000000798609E-2</v>
      </c>
      <c r="I23">
        <f>+G23</f>
        <v>4.0795000000798609E-2</v>
      </c>
      <c r="O23">
        <f t="shared" ca="1" si="3"/>
        <v>-7.715921932269376E-3</v>
      </c>
      <c r="Q23" s="2">
        <f t="shared" si="4"/>
        <v>13554.7</v>
      </c>
    </row>
    <row r="24" spans="1:17" x14ac:dyDescent="0.2">
      <c r="A24" s="47" t="s">
        <v>76</v>
      </c>
      <c r="B24" s="48" t="s">
        <v>34</v>
      </c>
      <c r="C24" s="47">
        <v>28635.360000000001</v>
      </c>
      <c r="D24" s="47" t="s">
        <v>56</v>
      </c>
      <c r="E24">
        <f t="shared" si="0"/>
        <v>-20.98366802719471</v>
      </c>
      <c r="F24">
        <f t="shared" si="1"/>
        <v>-21</v>
      </c>
      <c r="G24">
        <f t="shared" si="2"/>
        <v>7.2477000001526903E-2</v>
      </c>
      <c r="H24">
        <f>+G24</f>
        <v>7.2477000001526903E-2</v>
      </c>
      <c r="O24">
        <f t="shared" ca="1" si="3"/>
        <v>-7.0848398412519933E-3</v>
      </c>
      <c r="Q24" s="2">
        <f t="shared" si="4"/>
        <v>13616.86</v>
      </c>
    </row>
    <row r="25" spans="1:17" x14ac:dyDescent="0.2">
      <c r="A25" s="47" t="s">
        <v>71</v>
      </c>
      <c r="B25" s="48" t="s">
        <v>34</v>
      </c>
      <c r="C25" s="47">
        <v>28728.400000000001</v>
      </c>
      <c r="D25" s="47" t="s">
        <v>56</v>
      </c>
      <c r="E25">
        <f t="shared" si="0"/>
        <v>-1.8027206208504076E-2</v>
      </c>
      <c r="F25">
        <f t="shared" si="1"/>
        <v>0</v>
      </c>
      <c r="G25">
        <f t="shared" si="2"/>
        <v>-7.9999999998108251E-2</v>
      </c>
      <c r="I25">
        <f>+G25</f>
        <v>-7.9999999998108251E-2</v>
      </c>
      <c r="O25">
        <f t="shared" ca="1" si="3"/>
        <v>-6.1382167047259184E-3</v>
      </c>
      <c r="Q25" s="2">
        <f t="shared" si="4"/>
        <v>13709.900000000001</v>
      </c>
    </row>
    <row r="26" spans="1:17" x14ac:dyDescent="0.2">
      <c r="A26" t="s">
        <v>12</v>
      </c>
      <c r="C26" s="13">
        <v>28728.48</v>
      </c>
      <c r="D26" s="13" t="s">
        <v>14</v>
      </c>
      <c r="E26">
        <f t="shared" si="0"/>
        <v>0</v>
      </c>
      <c r="F26">
        <f t="shared" si="1"/>
        <v>0</v>
      </c>
      <c r="G26">
        <f t="shared" si="2"/>
        <v>0</v>
      </c>
      <c r="H26">
        <f>+G26</f>
        <v>0</v>
      </c>
      <c r="O26">
        <f t="shared" ca="1" si="3"/>
        <v>-6.1382167047259184E-3</v>
      </c>
      <c r="Q26" s="2">
        <f t="shared" si="4"/>
        <v>13709.98</v>
      </c>
    </row>
    <row r="27" spans="1:17" x14ac:dyDescent="0.2">
      <c r="A27" s="47" t="s">
        <v>71</v>
      </c>
      <c r="B27" s="48" t="s">
        <v>34</v>
      </c>
      <c r="C27" s="47">
        <v>28746.23</v>
      </c>
      <c r="D27" s="47" t="s">
        <v>56</v>
      </c>
      <c r="E27">
        <f t="shared" si="0"/>
        <v>3.9997863776064237</v>
      </c>
      <c r="F27">
        <f t="shared" si="1"/>
        <v>4</v>
      </c>
      <c r="G27">
        <f t="shared" si="2"/>
        <v>-9.4800000078976154E-4</v>
      </c>
      <c r="I27">
        <f>+G27</f>
        <v>-9.4800000078976154E-4</v>
      </c>
      <c r="O27">
        <f t="shared" ca="1" si="3"/>
        <v>-5.9579075358638092E-3</v>
      </c>
      <c r="Q27" s="2">
        <f t="shared" si="4"/>
        <v>13727.73</v>
      </c>
    </row>
    <row r="28" spans="1:17" x14ac:dyDescent="0.2">
      <c r="A28" s="47" t="s">
        <v>71</v>
      </c>
      <c r="B28" s="48" t="s">
        <v>34</v>
      </c>
      <c r="C28" s="47">
        <v>28755.18</v>
      </c>
      <c r="D28" s="47" t="s">
        <v>56</v>
      </c>
      <c r="E28">
        <f t="shared" si="0"/>
        <v>6.0165800722306724</v>
      </c>
      <c r="F28">
        <f t="shared" si="1"/>
        <v>6</v>
      </c>
      <c r="G28">
        <f t="shared" si="2"/>
        <v>7.3577999999542953E-2</v>
      </c>
      <c r="I28">
        <f>+G28</f>
        <v>7.3577999999542953E-2</v>
      </c>
      <c r="O28">
        <f t="shared" ca="1" si="3"/>
        <v>-5.8677529514327541E-3</v>
      </c>
      <c r="Q28" s="2">
        <f t="shared" si="4"/>
        <v>13736.68</v>
      </c>
    </row>
    <row r="29" spans="1:17" x14ac:dyDescent="0.2">
      <c r="A29" s="47" t="s">
        <v>76</v>
      </c>
      <c r="B29" s="48" t="s">
        <v>34</v>
      </c>
      <c r="C29" s="47">
        <v>28808.49</v>
      </c>
      <c r="D29" s="47" t="s">
        <v>56</v>
      </c>
      <c r="E29">
        <f t="shared" si="0"/>
        <v>18.029459609706937</v>
      </c>
      <c r="F29">
        <f t="shared" si="1"/>
        <v>18</v>
      </c>
      <c r="G29">
        <f t="shared" si="2"/>
        <v>0.13073400000212132</v>
      </c>
      <c r="H29">
        <f>+G29</f>
        <v>0.13073400000212132</v>
      </c>
      <c r="O29">
        <f t="shared" ca="1" si="3"/>
        <v>-5.3268254448464256E-3</v>
      </c>
      <c r="Q29" s="2">
        <f t="shared" si="4"/>
        <v>13789.990000000002</v>
      </c>
    </row>
    <row r="30" spans="1:17" x14ac:dyDescent="0.2">
      <c r="A30" s="47" t="s">
        <v>71</v>
      </c>
      <c r="B30" s="48" t="s">
        <v>34</v>
      </c>
      <c r="C30" s="47">
        <v>29132.36</v>
      </c>
      <c r="D30" s="47" t="s">
        <v>56</v>
      </c>
      <c r="E30">
        <f t="shared" si="0"/>
        <v>91.010350545785158</v>
      </c>
      <c r="F30">
        <f t="shared" si="1"/>
        <v>91</v>
      </c>
      <c r="G30">
        <f t="shared" si="2"/>
        <v>4.5933000001241453E-2</v>
      </c>
      <c r="I30">
        <f>+G30</f>
        <v>4.5933000001241453E-2</v>
      </c>
      <c r="O30">
        <f t="shared" ca="1" si="3"/>
        <v>-2.0361831131129283E-3</v>
      </c>
      <c r="Q30" s="2">
        <f t="shared" si="4"/>
        <v>14113.86</v>
      </c>
    </row>
    <row r="31" spans="1:17" x14ac:dyDescent="0.2">
      <c r="A31" s="47" t="s">
        <v>76</v>
      </c>
      <c r="B31" s="48" t="s">
        <v>34</v>
      </c>
      <c r="C31" s="47">
        <v>29194.49</v>
      </c>
      <c r="D31" s="47" t="s">
        <v>56</v>
      </c>
      <c r="E31">
        <f t="shared" si="0"/>
        <v>105.01072956779593</v>
      </c>
      <c r="F31">
        <f t="shared" si="1"/>
        <v>105</v>
      </c>
      <c r="G31">
        <f t="shared" si="2"/>
        <v>4.76150000031339E-2</v>
      </c>
      <c r="H31">
        <f>+G31</f>
        <v>4.76150000031339E-2</v>
      </c>
      <c r="O31">
        <f t="shared" ca="1" si="3"/>
        <v>-1.4051010220955448E-3</v>
      </c>
      <c r="Q31" s="2">
        <f t="shared" si="4"/>
        <v>14175.990000000002</v>
      </c>
    </row>
    <row r="32" spans="1:17" x14ac:dyDescent="0.2">
      <c r="A32" s="47" t="s">
        <v>76</v>
      </c>
      <c r="B32" s="48" t="s">
        <v>34</v>
      </c>
      <c r="C32" s="47">
        <v>29243.27</v>
      </c>
      <c r="D32" s="47" t="s">
        <v>56</v>
      </c>
      <c r="E32">
        <f t="shared" si="0"/>
        <v>116.00281855369096</v>
      </c>
      <c r="F32">
        <f t="shared" si="1"/>
        <v>116</v>
      </c>
      <c r="G32">
        <f t="shared" si="2"/>
        <v>1.2507999999797903E-2</v>
      </c>
      <c r="H32">
        <f>+G32</f>
        <v>1.2507999999797903E-2</v>
      </c>
      <c r="O32">
        <f t="shared" ca="1" si="3"/>
        <v>-9.092508077247442E-4</v>
      </c>
      <c r="Q32" s="2">
        <f t="shared" si="4"/>
        <v>14224.77</v>
      </c>
    </row>
    <row r="33" spans="1:17" x14ac:dyDescent="0.2">
      <c r="A33" s="47" t="s">
        <v>76</v>
      </c>
      <c r="B33" s="48" t="s">
        <v>34</v>
      </c>
      <c r="C33" s="47">
        <v>29252.25</v>
      </c>
      <c r="D33" s="47" t="s">
        <v>56</v>
      </c>
      <c r="E33">
        <f t="shared" si="0"/>
        <v>118.02637245064329</v>
      </c>
      <c r="F33">
        <f t="shared" si="1"/>
        <v>118</v>
      </c>
      <c r="G33">
        <f t="shared" si="2"/>
        <v>0.11703399999896646</v>
      </c>
      <c r="H33">
        <f>+G33</f>
        <v>0.11703399999896646</v>
      </c>
      <c r="O33">
        <f t="shared" ca="1" si="3"/>
        <v>-8.1909622329368915E-4</v>
      </c>
      <c r="Q33" s="2">
        <f t="shared" si="4"/>
        <v>14233.75</v>
      </c>
    </row>
    <row r="34" spans="1:17" x14ac:dyDescent="0.2">
      <c r="A34" s="47" t="s">
        <v>71</v>
      </c>
      <c r="B34" s="48" t="s">
        <v>34</v>
      </c>
      <c r="C34" s="47">
        <v>29456.27</v>
      </c>
      <c r="D34" s="47" t="s">
        <v>56</v>
      </c>
      <c r="E34">
        <f t="shared" si="0"/>
        <v>164.00025508496805</v>
      </c>
      <c r="F34">
        <f t="shared" si="1"/>
        <v>164</v>
      </c>
      <c r="G34">
        <f t="shared" si="2"/>
        <v>1.1320000012347009E-3</v>
      </c>
      <c r="I34">
        <f>+G34</f>
        <v>1.1320000012347009E-3</v>
      </c>
      <c r="O34">
        <f t="shared" ca="1" si="3"/>
        <v>1.2544592186205699E-3</v>
      </c>
      <c r="Q34" s="2">
        <f t="shared" si="4"/>
        <v>14437.77</v>
      </c>
    </row>
    <row r="35" spans="1:17" x14ac:dyDescent="0.2">
      <c r="A35" s="47" t="s">
        <v>71</v>
      </c>
      <c r="B35" s="48" t="s">
        <v>34</v>
      </c>
      <c r="C35" s="47">
        <v>29465.14</v>
      </c>
      <c r="D35" s="47" t="s">
        <v>56</v>
      </c>
      <c r="E35">
        <f t="shared" si="0"/>
        <v>165.99902157338298</v>
      </c>
      <c r="F35">
        <f t="shared" si="1"/>
        <v>166</v>
      </c>
      <c r="G35">
        <f t="shared" si="2"/>
        <v>-4.3420000001788139E-3</v>
      </c>
      <c r="I35">
        <f>+G35</f>
        <v>-4.3420000001788139E-3</v>
      </c>
      <c r="O35">
        <f t="shared" ca="1" si="3"/>
        <v>1.344613803051624E-3</v>
      </c>
      <c r="Q35" s="2">
        <f t="shared" si="4"/>
        <v>14446.64</v>
      </c>
    </row>
    <row r="36" spans="1:17" x14ac:dyDescent="0.2">
      <c r="A36" s="47" t="s">
        <v>76</v>
      </c>
      <c r="B36" s="48" t="s">
        <v>34</v>
      </c>
      <c r="C36" s="47">
        <v>29638.31</v>
      </c>
      <c r="D36" s="47" t="s">
        <v>56</v>
      </c>
      <c r="E36">
        <f t="shared" si="0"/>
        <v>205.02116281338928</v>
      </c>
      <c r="F36">
        <f t="shared" si="1"/>
        <v>205</v>
      </c>
      <c r="G36">
        <f t="shared" si="2"/>
        <v>9.3915000001288718E-2</v>
      </c>
      <c r="H36">
        <f>+G36</f>
        <v>9.3915000001288718E-2</v>
      </c>
      <c r="O36">
        <f t="shared" ca="1" si="3"/>
        <v>3.1026281994571917E-3</v>
      </c>
      <c r="Q36" s="2">
        <f t="shared" si="4"/>
        <v>14619.810000000001</v>
      </c>
    </row>
    <row r="37" spans="1:17" x14ac:dyDescent="0.2">
      <c r="A37" s="47" t="s">
        <v>76</v>
      </c>
      <c r="B37" s="48" t="s">
        <v>34</v>
      </c>
      <c r="C37" s="47">
        <v>29691.4</v>
      </c>
      <c r="D37" s="47" t="s">
        <v>56</v>
      </c>
      <c r="E37">
        <f t="shared" si="0"/>
        <v>216.98446753379073</v>
      </c>
      <c r="F37">
        <f t="shared" si="1"/>
        <v>217</v>
      </c>
      <c r="G37">
        <f t="shared" si="2"/>
        <v>-6.8928999997297069E-2</v>
      </c>
      <c r="H37">
        <f>+G37</f>
        <v>-6.8928999997297069E-2</v>
      </c>
      <c r="O37">
        <f t="shared" ca="1" si="3"/>
        <v>3.6435557060435202E-3</v>
      </c>
      <c r="Q37" s="2">
        <f t="shared" si="4"/>
        <v>14672.900000000001</v>
      </c>
    </row>
    <row r="38" spans="1:17" x14ac:dyDescent="0.2">
      <c r="A38" s="47" t="s">
        <v>76</v>
      </c>
      <c r="B38" s="48" t="s">
        <v>34</v>
      </c>
      <c r="C38" s="47">
        <v>29953.23</v>
      </c>
      <c r="D38" s="47" t="s">
        <v>56</v>
      </c>
      <c r="E38">
        <f t="shared" si="0"/>
        <v>275.98526005484325</v>
      </c>
      <c r="F38">
        <f t="shared" si="1"/>
        <v>276</v>
      </c>
      <c r="G38">
        <f t="shared" si="2"/>
        <v>-6.5411999999923864E-2</v>
      </c>
      <c r="H38">
        <f>+G38</f>
        <v>-6.5411999999923864E-2</v>
      </c>
      <c r="O38">
        <f t="shared" ca="1" si="3"/>
        <v>6.303115946759634E-3</v>
      </c>
      <c r="Q38" s="2">
        <f t="shared" si="4"/>
        <v>14934.73</v>
      </c>
    </row>
    <row r="39" spans="1:17" x14ac:dyDescent="0.2">
      <c r="A39" s="47" t="s">
        <v>76</v>
      </c>
      <c r="B39" s="48" t="s">
        <v>34</v>
      </c>
      <c r="C39" s="47">
        <v>29984.400000000001</v>
      </c>
      <c r="D39" s="47" t="s">
        <v>56</v>
      </c>
      <c r="E39">
        <f t="shared" si="0"/>
        <v>283.00911027399815</v>
      </c>
      <c r="F39">
        <f t="shared" si="1"/>
        <v>283</v>
      </c>
      <c r="G39">
        <f t="shared" si="2"/>
        <v>4.0429000000585802E-2</v>
      </c>
      <c r="H39">
        <f>+G39</f>
        <v>4.0429000000585802E-2</v>
      </c>
      <c r="O39">
        <f t="shared" ca="1" si="3"/>
        <v>6.6186569922683253E-3</v>
      </c>
      <c r="Q39" s="2">
        <f t="shared" si="4"/>
        <v>14965.900000000001</v>
      </c>
    </row>
    <row r="40" spans="1:17" x14ac:dyDescent="0.2">
      <c r="A40" s="47" t="s">
        <v>76</v>
      </c>
      <c r="B40" s="48" t="s">
        <v>34</v>
      </c>
      <c r="C40" s="47">
        <v>30024.27</v>
      </c>
      <c r="D40" s="47" t="s">
        <v>56</v>
      </c>
      <c r="E40">
        <f t="shared" si="0"/>
        <v>291.99341916837363</v>
      </c>
      <c r="F40">
        <f t="shared" si="1"/>
        <v>292</v>
      </c>
      <c r="G40">
        <f t="shared" si="2"/>
        <v>-2.9203999998571817E-2</v>
      </c>
      <c r="H40">
        <f>+G40</f>
        <v>-2.9203999998571817E-2</v>
      </c>
      <c r="O40">
        <f t="shared" ca="1" si="3"/>
        <v>7.0243526222080726E-3</v>
      </c>
      <c r="Q40" s="2">
        <f t="shared" si="4"/>
        <v>15005.77</v>
      </c>
    </row>
    <row r="41" spans="1:17" x14ac:dyDescent="0.2">
      <c r="A41" t="s">
        <v>31</v>
      </c>
      <c r="C41" s="13">
        <v>30725.451000000001</v>
      </c>
      <c r="D41" s="13" t="s">
        <v>14</v>
      </c>
      <c r="E41">
        <f t="shared" si="0"/>
        <v>449.9976001281737</v>
      </c>
      <c r="F41">
        <f t="shared" si="1"/>
        <v>450</v>
      </c>
      <c r="G41">
        <f t="shared" si="2"/>
        <v>-1.0650000000168802E-2</v>
      </c>
      <c r="I41">
        <f>+G41</f>
        <v>-1.0650000000168802E-2</v>
      </c>
      <c r="O41">
        <f t="shared" ca="1" si="3"/>
        <v>1.4146564792261396E-2</v>
      </c>
      <c r="Q41" s="2">
        <f t="shared" si="4"/>
        <v>15706.951000000001</v>
      </c>
    </row>
    <row r="42" spans="1:17" x14ac:dyDescent="0.2">
      <c r="A42" t="s">
        <v>31</v>
      </c>
      <c r="C42" s="13">
        <v>31404.431</v>
      </c>
      <c r="D42" s="13" t="s">
        <v>14</v>
      </c>
      <c r="E42">
        <f t="shared" si="0"/>
        <v>602.99900602491778</v>
      </c>
      <c r="F42">
        <f t="shared" si="1"/>
        <v>603</v>
      </c>
      <c r="G42">
        <f t="shared" si="2"/>
        <v>-4.4109999980719294E-3</v>
      </c>
      <c r="I42">
        <f>+G42</f>
        <v>-4.4109999980719294E-3</v>
      </c>
      <c r="O42">
        <f t="shared" ca="1" si="3"/>
        <v>2.1043390501237082E-2</v>
      </c>
      <c r="Q42" s="2">
        <f t="shared" si="4"/>
        <v>16385.931</v>
      </c>
    </row>
    <row r="43" spans="1:17" x14ac:dyDescent="0.2">
      <c r="A43" t="s">
        <v>31</v>
      </c>
      <c r="C43" s="13">
        <v>32114.468000000001</v>
      </c>
      <c r="D43" s="13" t="s">
        <v>14</v>
      </c>
      <c r="E43">
        <f t="shared" si="0"/>
        <v>762.99879871204644</v>
      </c>
      <c r="F43">
        <f t="shared" si="1"/>
        <v>763</v>
      </c>
      <c r="G43">
        <f t="shared" si="2"/>
        <v>-5.3310000002966262E-3</v>
      </c>
      <c r="I43">
        <f>+G43</f>
        <v>-5.3310000002966262E-3</v>
      </c>
      <c r="O43">
        <f t="shared" ca="1" si="3"/>
        <v>2.8255757255721464E-2</v>
      </c>
      <c r="Q43" s="2">
        <f t="shared" si="4"/>
        <v>17095.968000000001</v>
      </c>
    </row>
    <row r="44" spans="1:17" x14ac:dyDescent="0.2">
      <c r="A44" t="s">
        <v>31</v>
      </c>
      <c r="C44" s="13">
        <v>32806.775999999998</v>
      </c>
      <c r="D44" s="13" t="s">
        <v>14</v>
      </c>
      <c r="E44">
        <f t="shared" si="0"/>
        <v>919.00353716319785</v>
      </c>
      <c r="F44">
        <f t="shared" si="1"/>
        <v>919</v>
      </c>
      <c r="G44">
        <f t="shared" si="2"/>
        <v>1.5696999995270744E-2</v>
      </c>
      <c r="I44">
        <f>+G44</f>
        <v>1.5696999995270744E-2</v>
      </c>
      <c r="O44">
        <f t="shared" ca="1" si="3"/>
        <v>3.5287814841343731E-2</v>
      </c>
      <c r="Q44" s="2">
        <f t="shared" si="4"/>
        <v>17788.275999999998</v>
      </c>
    </row>
    <row r="45" spans="1:17" x14ac:dyDescent="0.2">
      <c r="A45" t="s">
        <v>32</v>
      </c>
      <c r="C45" s="13">
        <v>33286.036050000002</v>
      </c>
      <c r="D45" s="13" t="s">
        <v>14</v>
      </c>
      <c r="E45">
        <f t="shared" si="0"/>
        <v>1027.0000340263523</v>
      </c>
      <c r="F45">
        <f t="shared" si="1"/>
        <v>1027</v>
      </c>
      <c r="G45">
        <f t="shared" si="2"/>
        <v>1.5100000018719584E-4</v>
      </c>
      <c r="J45">
        <f>+G45</f>
        <v>1.5100000018719584E-4</v>
      </c>
      <c r="O45">
        <f t="shared" ca="1" si="3"/>
        <v>4.0156162400620685E-2</v>
      </c>
      <c r="Q45" s="2">
        <f t="shared" si="4"/>
        <v>18267.536050000002</v>
      </c>
    </row>
    <row r="46" spans="1:17" x14ac:dyDescent="0.2">
      <c r="A46" t="s">
        <v>31</v>
      </c>
      <c r="C46" s="13">
        <v>34293.415000000001</v>
      </c>
      <c r="D46" s="13" t="s">
        <v>14</v>
      </c>
      <c r="E46">
        <f t="shared" si="0"/>
        <v>1254.0028848036739</v>
      </c>
      <c r="F46">
        <f t="shared" si="1"/>
        <v>1254</v>
      </c>
      <c r="G46">
        <f t="shared" si="2"/>
        <v>1.2802000004739966E-2</v>
      </c>
      <c r="I46">
        <f t="shared" ref="I46:I55" si="5">+G46</f>
        <v>1.2802000004739966E-2</v>
      </c>
      <c r="O46">
        <f t="shared" ca="1" si="3"/>
        <v>5.0388707733545396E-2</v>
      </c>
      <c r="Q46" s="2">
        <f t="shared" si="4"/>
        <v>19274.915000000001</v>
      </c>
    </row>
    <row r="47" spans="1:17" x14ac:dyDescent="0.2">
      <c r="A47" s="47" t="s">
        <v>138</v>
      </c>
      <c r="B47" s="48" t="s">
        <v>34</v>
      </c>
      <c r="C47" s="47">
        <v>35034.338000000003</v>
      </c>
      <c r="D47" s="47" t="s">
        <v>56</v>
      </c>
      <c r="E47">
        <f t="shared" si="0"/>
        <v>1420.9625311279158</v>
      </c>
      <c r="F47">
        <f t="shared" si="1"/>
        <v>1421</v>
      </c>
      <c r="G47">
        <f t="shared" si="2"/>
        <v>-0.16627699999662582</v>
      </c>
      <c r="I47">
        <f t="shared" si="5"/>
        <v>-0.16627699999662582</v>
      </c>
      <c r="O47">
        <f t="shared" ca="1" si="3"/>
        <v>5.7916615533538468E-2</v>
      </c>
      <c r="Q47" s="2">
        <f t="shared" si="4"/>
        <v>20015.838000000003</v>
      </c>
    </row>
    <row r="48" spans="1:17" x14ac:dyDescent="0.2">
      <c r="A48" s="47" t="s">
        <v>138</v>
      </c>
      <c r="B48" s="48" t="s">
        <v>34</v>
      </c>
      <c r="C48" s="47">
        <v>35061.22</v>
      </c>
      <c r="D48" s="47" t="s">
        <v>56</v>
      </c>
      <c r="E48">
        <f t="shared" si="0"/>
        <v>1427.0201230942712</v>
      </c>
      <c r="F48">
        <f t="shared" si="1"/>
        <v>1427</v>
      </c>
      <c r="G48">
        <f t="shared" si="2"/>
        <v>8.9300999999977648E-2</v>
      </c>
      <c r="I48">
        <f t="shared" si="5"/>
        <v>8.9300999999977648E-2</v>
      </c>
      <c r="O48">
        <f t="shared" ca="1" si="3"/>
        <v>5.8187079286831631E-2</v>
      </c>
      <c r="Q48" s="2">
        <f t="shared" si="4"/>
        <v>20042.72</v>
      </c>
    </row>
    <row r="49" spans="1:17" x14ac:dyDescent="0.2">
      <c r="A49" s="47" t="s">
        <v>138</v>
      </c>
      <c r="B49" s="48" t="s">
        <v>34</v>
      </c>
      <c r="C49" s="47">
        <v>35132.300000000003</v>
      </c>
      <c r="D49" s="47" t="s">
        <v>56</v>
      </c>
      <c r="E49">
        <f t="shared" si="0"/>
        <v>1443.037295810906</v>
      </c>
      <c r="F49">
        <f t="shared" si="1"/>
        <v>1443</v>
      </c>
      <c r="G49">
        <f t="shared" si="2"/>
        <v>0.16550900000584079</v>
      </c>
      <c r="I49">
        <f t="shared" si="5"/>
        <v>0.16550900000584079</v>
      </c>
      <c r="O49">
        <f t="shared" ca="1" si="3"/>
        <v>5.8908315962280064E-2</v>
      </c>
      <c r="Q49" s="2">
        <f t="shared" si="4"/>
        <v>20113.800000000003</v>
      </c>
    </row>
    <row r="50" spans="1:17" x14ac:dyDescent="0.2">
      <c r="A50" s="47" t="s">
        <v>138</v>
      </c>
      <c r="B50" s="48" t="s">
        <v>34</v>
      </c>
      <c r="C50" s="47">
        <v>35336.328999999998</v>
      </c>
      <c r="D50" s="47" t="s">
        <v>56</v>
      </c>
      <c r="E50">
        <f t="shared" si="0"/>
        <v>1489.0132065059281</v>
      </c>
      <c r="F50">
        <f t="shared" si="1"/>
        <v>1489</v>
      </c>
      <c r="G50">
        <f t="shared" si="2"/>
        <v>5.8606999999028631E-2</v>
      </c>
      <c r="I50">
        <f t="shared" si="5"/>
        <v>5.8606999999028631E-2</v>
      </c>
      <c r="O50">
        <f t="shared" ca="1" si="3"/>
        <v>6.0981871404194324E-2</v>
      </c>
      <c r="Q50" s="2">
        <f t="shared" si="4"/>
        <v>20317.828999999998</v>
      </c>
    </row>
    <row r="51" spans="1:17" x14ac:dyDescent="0.2">
      <c r="A51" s="47" t="s">
        <v>138</v>
      </c>
      <c r="B51" s="48" t="s">
        <v>34</v>
      </c>
      <c r="C51" s="47">
        <v>35367.379000000001</v>
      </c>
      <c r="D51" s="47" t="s">
        <v>56</v>
      </c>
      <c r="E51">
        <f t="shared" si="0"/>
        <v>1496.0100159157698</v>
      </c>
      <c r="F51">
        <f t="shared" si="1"/>
        <v>1496</v>
      </c>
      <c r="G51">
        <f t="shared" si="2"/>
        <v>4.4448000000556931E-2</v>
      </c>
      <c r="I51">
        <f t="shared" si="5"/>
        <v>4.4448000000556931E-2</v>
      </c>
      <c r="O51">
        <f t="shared" ca="1" si="3"/>
        <v>6.129741244970302E-2</v>
      </c>
      <c r="Q51" s="2">
        <f t="shared" si="4"/>
        <v>20348.879000000001</v>
      </c>
    </row>
    <row r="52" spans="1:17" x14ac:dyDescent="0.2">
      <c r="A52" s="47" t="s">
        <v>138</v>
      </c>
      <c r="B52" s="48" t="s">
        <v>34</v>
      </c>
      <c r="C52" s="47">
        <v>35429.373</v>
      </c>
      <c r="D52" s="47" t="s">
        <v>56</v>
      </c>
      <c r="E52">
        <f t="shared" si="0"/>
        <v>1509.9797486872249</v>
      </c>
      <c r="F52">
        <f t="shared" si="1"/>
        <v>1510</v>
      </c>
      <c r="G52">
        <f t="shared" si="2"/>
        <v>-8.9870000003429595E-2</v>
      </c>
      <c r="I52">
        <f t="shared" si="5"/>
        <v>-8.9870000003429595E-2</v>
      </c>
      <c r="O52">
        <f t="shared" ca="1" si="3"/>
        <v>6.19284945407204E-2</v>
      </c>
      <c r="Q52" s="2">
        <f t="shared" si="4"/>
        <v>20410.873</v>
      </c>
    </row>
    <row r="53" spans="1:17" x14ac:dyDescent="0.2">
      <c r="A53" s="47" t="s">
        <v>138</v>
      </c>
      <c r="B53" s="48" t="s">
        <v>34</v>
      </c>
      <c r="C53" s="47">
        <v>35691.408000000003</v>
      </c>
      <c r="D53" s="47" t="s">
        <v>56</v>
      </c>
      <c r="E53">
        <f t="shared" si="0"/>
        <v>1569.0267359241891</v>
      </c>
      <c r="F53">
        <f t="shared" si="1"/>
        <v>1569</v>
      </c>
      <c r="G53">
        <f t="shared" si="2"/>
        <v>0.1186470000029658</v>
      </c>
      <c r="I53">
        <f t="shared" si="5"/>
        <v>0.1186470000029658</v>
      </c>
      <c r="O53">
        <f t="shared" ca="1" si="3"/>
        <v>6.4588054781436519E-2</v>
      </c>
      <c r="Q53" s="2">
        <f t="shared" si="4"/>
        <v>20672.908000000003</v>
      </c>
    </row>
    <row r="54" spans="1:17" x14ac:dyDescent="0.2">
      <c r="A54" s="47" t="s">
        <v>138</v>
      </c>
      <c r="B54" s="48" t="s">
        <v>34</v>
      </c>
      <c r="C54" s="47">
        <v>35722.356</v>
      </c>
      <c r="D54" s="47" t="s">
        <v>56</v>
      </c>
      <c r="E54">
        <f t="shared" si="0"/>
        <v>1576.0005606461129</v>
      </c>
      <c r="F54">
        <f t="shared" si="1"/>
        <v>1576</v>
      </c>
      <c r="G54">
        <f t="shared" si="2"/>
        <v>2.4879999982658774E-3</v>
      </c>
      <c r="I54">
        <f t="shared" si="5"/>
        <v>2.4879999982658774E-3</v>
      </c>
      <c r="O54">
        <f t="shared" ca="1" si="3"/>
        <v>6.4903595826945215E-2</v>
      </c>
      <c r="Q54" s="2">
        <f t="shared" si="4"/>
        <v>20703.856</v>
      </c>
    </row>
    <row r="55" spans="1:17" x14ac:dyDescent="0.2">
      <c r="A55" t="s">
        <v>31</v>
      </c>
      <c r="C55" s="13">
        <v>36485.646999999997</v>
      </c>
      <c r="D55" s="13" t="s">
        <v>14</v>
      </c>
      <c r="E55">
        <f t="shared" si="0"/>
        <v>1748.0006138263707</v>
      </c>
      <c r="F55">
        <f t="shared" si="1"/>
        <v>1748</v>
      </c>
      <c r="G55">
        <f t="shared" si="2"/>
        <v>2.723999998124782E-3</v>
      </c>
      <c r="I55">
        <f t="shared" si="5"/>
        <v>2.723999998124782E-3</v>
      </c>
      <c r="O55">
        <f t="shared" ca="1" si="3"/>
        <v>7.2656890088015916E-2</v>
      </c>
      <c r="Q55" s="2">
        <f t="shared" si="4"/>
        <v>21467.146999999997</v>
      </c>
    </row>
    <row r="56" spans="1:17" x14ac:dyDescent="0.2">
      <c r="A56" t="s">
        <v>33</v>
      </c>
      <c r="B56" s="3" t="s">
        <v>34</v>
      </c>
      <c r="C56" s="13">
        <v>50695.515599999999</v>
      </c>
      <c r="D56" s="13">
        <v>3.5999999999999999E-3</v>
      </c>
      <c r="E56">
        <f t="shared" si="0"/>
        <v>4950.0535070014284</v>
      </c>
      <c r="F56">
        <f t="shared" si="1"/>
        <v>4950</v>
      </c>
      <c r="G56">
        <f t="shared" si="2"/>
        <v>0.23745000000053551</v>
      </c>
      <c r="J56">
        <f>+G56</f>
        <v>0.23745000000053551</v>
      </c>
      <c r="O56">
        <f t="shared" ca="1" si="3"/>
        <v>0.21699437976213454</v>
      </c>
      <c r="Q56" s="2">
        <f t="shared" si="4"/>
        <v>35677.015599999999</v>
      </c>
    </row>
    <row r="57" spans="1:17" x14ac:dyDescent="0.2">
      <c r="A57" t="s">
        <v>33</v>
      </c>
      <c r="B57" s="3" t="s">
        <v>34</v>
      </c>
      <c r="C57" s="13">
        <v>50744.3272</v>
      </c>
      <c r="D57" s="13">
        <v>2.0000000000000001E-4</v>
      </c>
      <c r="E57">
        <f t="shared" si="0"/>
        <v>4961.0527167337768</v>
      </c>
      <c r="F57">
        <f t="shared" si="1"/>
        <v>4961</v>
      </c>
      <c r="G57">
        <f t="shared" si="2"/>
        <v>0.23394299999927171</v>
      </c>
      <c r="J57">
        <f>+G57</f>
        <v>0.23394299999927171</v>
      </c>
      <c r="O57">
        <f t="shared" ca="1" si="3"/>
        <v>0.21749022997650533</v>
      </c>
      <c r="Q57" s="2">
        <f t="shared" si="4"/>
        <v>35725.8272</v>
      </c>
    </row>
    <row r="58" spans="1:17" x14ac:dyDescent="0.2">
      <c r="A58" s="10" t="s">
        <v>35</v>
      </c>
      <c r="B58" s="11"/>
      <c r="C58" s="16">
        <v>52954.354700000004</v>
      </c>
      <c r="D58" s="16">
        <v>1E-3</v>
      </c>
      <c r="E58">
        <f t="shared" si="0"/>
        <v>5459.0604851076132</v>
      </c>
      <c r="F58">
        <f t="shared" si="1"/>
        <v>5459</v>
      </c>
      <c r="G58">
        <f t="shared" si="2"/>
        <v>0.2684170000065933</v>
      </c>
      <c r="J58">
        <f>+G58</f>
        <v>0.2684170000065933</v>
      </c>
      <c r="O58">
        <f t="shared" ca="1" si="3"/>
        <v>0.23993872149983797</v>
      </c>
      <c r="Q58" s="2">
        <f t="shared" si="4"/>
        <v>37935.854700000004</v>
      </c>
    </row>
    <row r="59" spans="1:17" x14ac:dyDescent="0.2">
      <c r="A59" s="12" t="s">
        <v>38</v>
      </c>
      <c r="B59" s="11"/>
      <c r="C59" s="13">
        <v>53673.277600000001</v>
      </c>
      <c r="D59" s="13">
        <v>1.4E-3</v>
      </c>
      <c r="E59">
        <f t="shared" si="0"/>
        <v>5621.0626271903902</v>
      </c>
      <c r="F59">
        <f t="shared" si="1"/>
        <v>5621</v>
      </c>
      <c r="G59">
        <f t="shared" si="2"/>
        <v>0.27792300000146497</v>
      </c>
      <c r="J59">
        <f>+G59</f>
        <v>0.27792300000146497</v>
      </c>
      <c r="O59">
        <f t="shared" ca="1" si="3"/>
        <v>0.24724124283875343</v>
      </c>
      <c r="Q59" s="2">
        <f t="shared" si="4"/>
        <v>38654.777600000001</v>
      </c>
    </row>
    <row r="60" spans="1:17" x14ac:dyDescent="0.2">
      <c r="A60" s="14" t="s">
        <v>39</v>
      </c>
      <c r="B60" s="15"/>
      <c r="C60" s="13">
        <v>54192.477299999999</v>
      </c>
      <c r="D60" s="13">
        <v>1.18E-2</v>
      </c>
      <c r="E60">
        <f t="shared" si="0"/>
        <v>5738.059127884324</v>
      </c>
      <c r="F60">
        <f t="shared" si="1"/>
        <v>5738</v>
      </c>
      <c r="G60">
        <f t="shared" si="2"/>
        <v>0.26239399999758461</v>
      </c>
      <c r="J60">
        <f>+G60</f>
        <v>0.26239399999758461</v>
      </c>
      <c r="O60">
        <f t="shared" ca="1" si="3"/>
        <v>0.25251528602797008</v>
      </c>
      <c r="Q60" s="2">
        <f t="shared" si="4"/>
        <v>39173.977299999999</v>
      </c>
    </row>
    <row r="61" spans="1:17" x14ac:dyDescent="0.2">
      <c r="A61" s="47" t="s">
        <v>193</v>
      </c>
      <c r="B61" s="48" t="s">
        <v>34</v>
      </c>
      <c r="C61" s="47">
        <v>54374.447500000002</v>
      </c>
      <c r="D61" s="47" t="s">
        <v>56</v>
      </c>
      <c r="E61">
        <f t="shared" si="0"/>
        <v>5779.0643068753288</v>
      </c>
      <c r="F61">
        <f t="shared" si="1"/>
        <v>5779</v>
      </c>
      <c r="G61">
        <f t="shared" si="2"/>
        <v>0.2853770000001532</v>
      </c>
      <c r="K61">
        <f>+G61</f>
        <v>0.2853770000001532</v>
      </c>
      <c r="O61">
        <f t="shared" ca="1" si="3"/>
        <v>0.25436345500880675</v>
      </c>
      <c r="Q61" s="2">
        <f t="shared" si="4"/>
        <v>39355.947500000002</v>
      </c>
    </row>
    <row r="62" spans="1:17" x14ac:dyDescent="0.2">
      <c r="A62" s="47" t="s">
        <v>198</v>
      </c>
      <c r="B62" s="48" t="s">
        <v>34</v>
      </c>
      <c r="C62" s="47">
        <v>55155.475899999998</v>
      </c>
      <c r="D62" s="47" t="s">
        <v>56</v>
      </c>
      <c r="E62">
        <f t="shared" si="0"/>
        <v>5955.0613071482148</v>
      </c>
      <c r="F62">
        <f t="shared" si="1"/>
        <v>5955</v>
      </c>
      <c r="G62">
        <f t="shared" si="2"/>
        <v>0.27206499999738298</v>
      </c>
      <c r="K62">
        <f>+G62</f>
        <v>0.27206499999738298</v>
      </c>
      <c r="O62">
        <f t="shared" ca="1" si="3"/>
        <v>0.26229705843873952</v>
      </c>
      <c r="Q62" s="2">
        <f t="shared" si="4"/>
        <v>40136.975899999998</v>
      </c>
    </row>
    <row r="63" spans="1:17" x14ac:dyDescent="0.2">
      <c r="A63" s="47" t="s">
        <v>203</v>
      </c>
      <c r="B63" s="48" t="s">
        <v>34</v>
      </c>
      <c r="C63" s="47">
        <v>55856.626400000001</v>
      </c>
      <c r="D63" s="47" t="s">
        <v>56</v>
      </c>
      <c r="E63">
        <f t="shared" si="0"/>
        <v>6113.0586152356482</v>
      </c>
      <c r="F63">
        <f t="shared" si="1"/>
        <v>6113</v>
      </c>
      <c r="G63">
        <f t="shared" si="2"/>
        <v>0.26011899999866728</v>
      </c>
      <c r="K63">
        <f>+G63</f>
        <v>0.26011899999866728</v>
      </c>
      <c r="O63">
        <f t="shared" ca="1" si="3"/>
        <v>0.26941927060879284</v>
      </c>
      <c r="Q63" s="2">
        <f t="shared" si="4"/>
        <v>40838.126400000001</v>
      </c>
    </row>
    <row r="64" spans="1:17" x14ac:dyDescent="0.2">
      <c r="A64" s="47" t="s">
        <v>203</v>
      </c>
      <c r="B64" s="48" t="s">
        <v>34</v>
      </c>
      <c r="C64" s="47">
        <v>55874.373</v>
      </c>
      <c r="D64" s="47" t="s">
        <v>56</v>
      </c>
      <c r="E64">
        <f t="shared" si="0"/>
        <v>6117.0576354569903</v>
      </c>
      <c r="F64">
        <f t="shared" si="1"/>
        <v>6117</v>
      </c>
      <c r="G64">
        <f t="shared" si="2"/>
        <v>0.25577100000373321</v>
      </c>
      <c r="K64">
        <f>+G64</f>
        <v>0.25577100000373321</v>
      </c>
      <c r="O64">
        <f t="shared" ca="1" si="3"/>
        <v>0.26959957977765497</v>
      </c>
      <c r="Q64" s="2">
        <f t="shared" si="4"/>
        <v>40855.873</v>
      </c>
    </row>
    <row r="65" spans="2:2" x14ac:dyDescent="0.2">
      <c r="B65" s="3"/>
    </row>
    <row r="66" spans="2:2" x14ac:dyDescent="0.2">
      <c r="B66" s="3"/>
    </row>
    <row r="67" spans="2:2" x14ac:dyDescent="0.2">
      <c r="B67" s="3"/>
    </row>
    <row r="68" spans="2:2" x14ac:dyDescent="0.2">
      <c r="B68" s="3"/>
    </row>
    <row r="69" spans="2:2" x14ac:dyDescent="0.2">
      <c r="B69" s="3"/>
    </row>
    <row r="70" spans="2:2" x14ac:dyDescent="0.2">
      <c r="B70" s="3"/>
    </row>
    <row r="71" spans="2:2" x14ac:dyDescent="0.2">
      <c r="B71" s="3"/>
    </row>
    <row r="72" spans="2:2" x14ac:dyDescent="0.2">
      <c r="B72" s="3"/>
    </row>
    <row r="73" spans="2:2" x14ac:dyDescent="0.2">
      <c r="B73" s="3"/>
    </row>
    <row r="74" spans="2:2" x14ac:dyDescent="0.2">
      <c r="B74" s="3"/>
    </row>
    <row r="75" spans="2:2" x14ac:dyDescent="0.2">
      <c r="B75" s="3"/>
    </row>
    <row r="76" spans="2:2" x14ac:dyDescent="0.2">
      <c r="B76" s="3"/>
    </row>
    <row r="77" spans="2:2" x14ac:dyDescent="0.2">
      <c r="B77" s="3"/>
    </row>
    <row r="78" spans="2:2" x14ac:dyDescent="0.2">
      <c r="B78" s="3"/>
    </row>
    <row r="79" spans="2:2" x14ac:dyDescent="0.2">
      <c r="B79" s="3"/>
    </row>
    <row r="80" spans="2:2" x14ac:dyDescent="0.2">
      <c r="B80" s="3"/>
    </row>
    <row r="81" spans="2:2" x14ac:dyDescent="0.2">
      <c r="B81" s="3"/>
    </row>
    <row r="82" spans="2:2" x14ac:dyDescent="0.2">
      <c r="B82" s="3"/>
    </row>
    <row r="83" spans="2:2" x14ac:dyDescent="0.2">
      <c r="B83" s="3"/>
    </row>
    <row r="84" spans="2:2" x14ac:dyDescent="0.2">
      <c r="B84" s="3"/>
    </row>
    <row r="85" spans="2:2" x14ac:dyDescent="0.2">
      <c r="B85" s="3"/>
    </row>
    <row r="86" spans="2:2" x14ac:dyDescent="0.2">
      <c r="B86" s="3"/>
    </row>
    <row r="87" spans="2:2" x14ac:dyDescent="0.2">
      <c r="B87" s="3"/>
    </row>
    <row r="88" spans="2:2" x14ac:dyDescent="0.2">
      <c r="B88" s="3"/>
    </row>
    <row r="89" spans="2:2" x14ac:dyDescent="0.2">
      <c r="B89" s="3"/>
    </row>
    <row r="90" spans="2:2" x14ac:dyDescent="0.2">
      <c r="B90" s="3"/>
    </row>
    <row r="91" spans="2:2" x14ac:dyDescent="0.2">
      <c r="B91" s="3"/>
    </row>
    <row r="92" spans="2:2" x14ac:dyDescent="0.2">
      <c r="B92" s="3"/>
    </row>
    <row r="93" spans="2:2" x14ac:dyDescent="0.2">
      <c r="B93" s="3"/>
    </row>
    <row r="94" spans="2:2" x14ac:dyDescent="0.2">
      <c r="B94" s="3"/>
    </row>
    <row r="95" spans="2:2" x14ac:dyDescent="0.2">
      <c r="B95" s="3"/>
    </row>
    <row r="96" spans="2:2" x14ac:dyDescent="0.2">
      <c r="B96" s="3"/>
    </row>
    <row r="97" spans="2:2" x14ac:dyDescent="0.2">
      <c r="B97" s="3"/>
    </row>
    <row r="98" spans="2:2" x14ac:dyDescent="0.2">
      <c r="B98" s="3"/>
    </row>
    <row r="99" spans="2:2" x14ac:dyDescent="0.2">
      <c r="B99" s="3"/>
    </row>
    <row r="100" spans="2:2" x14ac:dyDescent="0.2">
      <c r="B100" s="3"/>
    </row>
    <row r="101" spans="2:2" x14ac:dyDescent="0.2">
      <c r="B101" s="3"/>
    </row>
    <row r="102" spans="2:2" x14ac:dyDescent="0.2">
      <c r="B102" s="3"/>
    </row>
    <row r="103" spans="2:2" x14ac:dyDescent="0.2">
      <c r="B103" s="3"/>
    </row>
    <row r="104" spans="2:2" x14ac:dyDescent="0.2">
      <c r="B104" s="3"/>
    </row>
    <row r="105" spans="2:2" x14ac:dyDescent="0.2">
      <c r="B105" s="3"/>
    </row>
    <row r="106" spans="2:2" x14ac:dyDescent="0.2">
      <c r="B106" s="3"/>
    </row>
    <row r="107" spans="2:2" x14ac:dyDescent="0.2">
      <c r="B107" s="3"/>
    </row>
    <row r="108" spans="2:2" x14ac:dyDescent="0.2">
      <c r="B108" s="3"/>
    </row>
    <row r="109" spans="2:2" x14ac:dyDescent="0.2">
      <c r="B109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0"/>
  <sheetViews>
    <sheetView topLeftCell="A12" workbookViewId="0">
      <selection activeCell="A22" sqref="A22:D52"/>
    </sheetView>
  </sheetViews>
  <sheetFormatPr defaultRowHeight="12.75" x14ac:dyDescent="0.2"/>
  <cols>
    <col min="1" max="1" width="19.7109375" style="13" customWidth="1"/>
    <col min="2" max="2" width="4.42578125" style="12" customWidth="1"/>
    <col min="3" max="3" width="12.7109375" style="13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3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3" t="s">
        <v>46</v>
      </c>
      <c r="I1" s="34" t="s">
        <v>47</v>
      </c>
      <c r="J1" s="35" t="s">
        <v>48</v>
      </c>
    </row>
    <row r="2" spans="1:16" x14ac:dyDescent="0.2">
      <c r="I2" s="36" t="s">
        <v>49</v>
      </c>
      <c r="J2" s="37" t="s">
        <v>50</v>
      </c>
    </row>
    <row r="3" spans="1:16" x14ac:dyDescent="0.2">
      <c r="A3" s="38" t="s">
        <v>51</v>
      </c>
      <c r="I3" s="36" t="s">
        <v>52</v>
      </c>
      <c r="J3" s="37" t="s">
        <v>53</v>
      </c>
    </row>
    <row r="4" spans="1:16" x14ac:dyDescent="0.2">
      <c r="I4" s="36" t="s">
        <v>54</v>
      </c>
      <c r="J4" s="37" t="s">
        <v>53</v>
      </c>
    </row>
    <row r="5" spans="1:16" ht="13.5" thickBot="1" x14ac:dyDescent="0.25">
      <c r="I5" s="39" t="s">
        <v>55</v>
      </c>
      <c r="J5" s="40" t="s">
        <v>56</v>
      </c>
    </row>
    <row r="10" spans="1:16" ht="13.5" thickBot="1" x14ac:dyDescent="0.25"/>
    <row r="11" spans="1:16" ht="12.75" customHeight="1" thickBot="1" x14ac:dyDescent="0.25">
      <c r="A11" s="13" t="str">
        <f t="shared" ref="A11:A52" si="0">P11</f>
        <v> AJ 64.260 </v>
      </c>
      <c r="B11" s="3" t="str">
        <f t="shared" ref="B11:B52" si="1">IF(H11=INT(H11),"I","II")</f>
        <v>I</v>
      </c>
      <c r="C11" s="13">
        <f t="shared" ref="C11:C52" si="2">1*G11</f>
        <v>30725.451000000001</v>
      </c>
      <c r="D11" s="12" t="str">
        <f t="shared" ref="D11:D52" si="3">VLOOKUP(F11,I$1:J$5,2,FALSE)</f>
        <v>vis</v>
      </c>
      <c r="E11" s="41">
        <f>VLOOKUP(C11,Active!C$21:E$973,3,FALSE)</f>
        <v>449.9976001281737</v>
      </c>
      <c r="F11" s="3" t="s">
        <v>55</v>
      </c>
      <c r="G11" s="12" t="str">
        <f t="shared" ref="G11:G52" si="4">MID(I11,3,LEN(I11)-3)</f>
        <v>30725.451</v>
      </c>
      <c r="H11" s="13">
        <f t="shared" ref="H11:H52" si="5">1*K11</f>
        <v>450</v>
      </c>
      <c r="I11" s="42" t="s">
        <v>117</v>
      </c>
      <c r="J11" s="43" t="s">
        <v>118</v>
      </c>
      <c r="K11" s="42">
        <v>450</v>
      </c>
      <c r="L11" s="42" t="s">
        <v>119</v>
      </c>
      <c r="M11" s="43" t="s">
        <v>57</v>
      </c>
      <c r="N11" s="43"/>
      <c r="O11" s="44" t="s">
        <v>120</v>
      </c>
      <c r="P11" s="44" t="s">
        <v>121</v>
      </c>
    </row>
    <row r="12" spans="1:16" ht="12.75" customHeight="1" thickBot="1" x14ac:dyDescent="0.25">
      <c r="A12" s="13" t="str">
        <f t="shared" si="0"/>
        <v> AJ 64.260 </v>
      </c>
      <c r="B12" s="3" t="str">
        <f t="shared" si="1"/>
        <v>I</v>
      </c>
      <c r="C12" s="13">
        <f t="shared" si="2"/>
        <v>31404.431</v>
      </c>
      <c r="D12" s="12" t="str">
        <f t="shared" si="3"/>
        <v>vis</v>
      </c>
      <c r="E12" s="41">
        <f>VLOOKUP(C12,Active!C$21:E$973,3,FALSE)</f>
        <v>602.99900602491778</v>
      </c>
      <c r="F12" s="3" t="s">
        <v>55</v>
      </c>
      <c r="G12" s="12" t="str">
        <f t="shared" si="4"/>
        <v>31404.431</v>
      </c>
      <c r="H12" s="13">
        <f t="shared" si="5"/>
        <v>603</v>
      </c>
      <c r="I12" s="42" t="s">
        <v>122</v>
      </c>
      <c r="J12" s="43" t="s">
        <v>123</v>
      </c>
      <c r="K12" s="42">
        <v>603</v>
      </c>
      <c r="L12" s="42" t="s">
        <v>124</v>
      </c>
      <c r="M12" s="43" t="s">
        <v>57</v>
      </c>
      <c r="N12" s="43"/>
      <c r="O12" s="44" t="s">
        <v>120</v>
      </c>
      <c r="P12" s="44" t="s">
        <v>121</v>
      </c>
    </row>
    <row r="13" spans="1:16" ht="12.75" customHeight="1" thickBot="1" x14ac:dyDescent="0.25">
      <c r="A13" s="13" t="str">
        <f t="shared" si="0"/>
        <v> AJ 64.260 </v>
      </c>
      <c r="B13" s="3" t="str">
        <f t="shared" si="1"/>
        <v>I</v>
      </c>
      <c r="C13" s="13">
        <f t="shared" si="2"/>
        <v>32114.468000000001</v>
      </c>
      <c r="D13" s="12" t="str">
        <f t="shared" si="3"/>
        <v>vis</v>
      </c>
      <c r="E13" s="41">
        <f>VLOOKUP(C13,Active!C$21:E$973,3,FALSE)</f>
        <v>762.99879871204644</v>
      </c>
      <c r="F13" s="3" t="s">
        <v>55</v>
      </c>
      <c r="G13" s="12" t="str">
        <f t="shared" si="4"/>
        <v>32114.468</v>
      </c>
      <c r="H13" s="13">
        <f t="shared" si="5"/>
        <v>763</v>
      </c>
      <c r="I13" s="42" t="s">
        <v>125</v>
      </c>
      <c r="J13" s="43" t="s">
        <v>126</v>
      </c>
      <c r="K13" s="42">
        <v>763</v>
      </c>
      <c r="L13" s="42" t="s">
        <v>127</v>
      </c>
      <c r="M13" s="43" t="s">
        <v>57</v>
      </c>
      <c r="N13" s="43"/>
      <c r="O13" s="44" t="s">
        <v>120</v>
      </c>
      <c r="P13" s="44" t="s">
        <v>121</v>
      </c>
    </row>
    <row r="14" spans="1:16" ht="12.75" customHeight="1" thickBot="1" x14ac:dyDescent="0.25">
      <c r="A14" s="13" t="str">
        <f t="shared" si="0"/>
        <v> AJ 64.260 </v>
      </c>
      <c r="B14" s="3" t="str">
        <f t="shared" si="1"/>
        <v>I</v>
      </c>
      <c r="C14" s="13">
        <f t="shared" si="2"/>
        <v>32806.775999999998</v>
      </c>
      <c r="D14" s="12" t="str">
        <f t="shared" si="3"/>
        <v>vis</v>
      </c>
      <c r="E14" s="41">
        <f>VLOOKUP(C14,Active!C$21:E$973,3,FALSE)</f>
        <v>919.00353716319785</v>
      </c>
      <c r="F14" s="3" t="s">
        <v>55</v>
      </c>
      <c r="G14" s="12" t="str">
        <f t="shared" si="4"/>
        <v>32806.776</v>
      </c>
      <c r="H14" s="13">
        <f t="shared" si="5"/>
        <v>919</v>
      </c>
      <c r="I14" s="42" t="s">
        <v>128</v>
      </c>
      <c r="J14" s="43" t="s">
        <v>129</v>
      </c>
      <c r="K14" s="42">
        <v>919</v>
      </c>
      <c r="L14" s="42" t="s">
        <v>130</v>
      </c>
      <c r="M14" s="43" t="s">
        <v>57</v>
      </c>
      <c r="N14" s="43"/>
      <c r="O14" s="44" t="s">
        <v>120</v>
      </c>
      <c r="P14" s="44" t="s">
        <v>121</v>
      </c>
    </row>
    <row r="15" spans="1:16" ht="12.75" customHeight="1" thickBot="1" x14ac:dyDescent="0.25">
      <c r="A15" s="13" t="str">
        <f t="shared" si="0"/>
        <v> AJ 64.260 </v>
      </c>
      <c r="B15" s="3" t="str">
        <f t="shared" si="1"/>
        <v>I</v>
      </c>
      <c r="C15" s="13">
        <f t="shared" si="2"/>
        <v>34293.415000000001</v>
      </c>
      <c r="D15" s="12" t="str">
        <f t="shared" si="3"/>
        <v>vis</v>
      </c>
      <c r="E15" s="41">
        <f>VLOOKUP(C15,Active!C$21:E$973,3,FALSE)</f>
        <v>1254.0028848036739</v>
      </c>
      <c r="F15" s="3" t="s">
        <v>55</v>
      </c>
      <c r="G15" s="12" t="str">
        <f t="shared" si="4"/>
        <v>34293.415</v>
      </c>
      <c r="H15" s="13">
        <f t="shared" si="5"/>
        <v>1254</v>
      </c>
      <c r="I15" s="42" t="s">
        <v>131</v>
      </c>
      <c r="J15" s="43" t="s">
        <v>132</v>
      </c>
      <c r="K15" s="42">
        <v>1254</v>
      </c>
      <c r="L15" s="42" t="s">
        <v>133</v>
      </c>
      <c r="M15" s="43" t="s">
        <v>57</v>
      </c>
      <c r="N15" s="43"/>
      <c r="O15" s="44" t="s">
        <v>120</v>
      </c>
      <c r="P15" s="44" t="s">
        <v>121</v>
      </c>
    </row>
    <row r="16" spans="1:16" ht="12.75" customHeight="1" thickBot="1" x14ac:dyDescent="0.25">
      <c r="A16" s="13" t="str">
        <f t="shared" si="0"/>
        <v> AJ 64.260 </v>
      </c>
      <c r="B16" s="3" t="str">
        <f t="shared" si="1"/>
        <v>I</v>
      </c>
      <c r="C16" s="13">
        <f t="shared" si="2"/>
        <v>36485.646999999997</v>
      </c>
      <c r="D16" s="12" t="str">
        <f t="shared" si="3"/>
        <v>vis</v>
      </c>
      <c r="E16" s="41">
        <f>VLOOKUP(C16,Active!C$21:E$973,3,FALSE)</f>
        <v>1748.0006138263707</v>
      </c>
      <c r="F16" s="3" t="s">
        <v>55</v>
      </c>
      <c r="G16" s="12" t="str">
        <f t="shared" si="4"/>
        <v>36485.647</v>
      </c>
      <c r="H16" s="13">
        <f t="shared" si="5"/>
        <v>1748</v>
      </c>
      <c r="I16" s="42" t="s">
        <v>160</v>
      </c>
      <c r="J16" s="43" t="s">
        <v>161</v>
      </c>
      <c r="K16" s="42">
        <v>1748</v>
      </c>
      <c r="L16" s="42" t="s">
        <v>162</v>
      </c>
      <c r="M16" s="43" t="s">
        <v>57</v>
      </c>
      <c r="N16" s="43"/>
      <c r="O16" s="44" t="s">
        <v>120</v>
      </c>
      <c r="P16" s="44" t="s">
        <v>121</v>
      </c>
    </row>
    <row r="17" spans="1:16" ht="12.75" customHeight="1" thickBot="1" x14ac:dyDescent="0.25">
      <c r="A17" s="13" t="str">
        <f t="shared" si="0"/>
        <v>BAVM 117 </v>
      </c>
      <c r="B17" s="3" t="str">
        <f t="shared" si="1"/>
        <v>I</v>
      </c>
      <c r="C17" s="13">
        <f t="shared" si="2"/>
        <v>50695.515599999999</v>
      </c>
      <c r="D17" s="12" t="str">
        <f t="shared" si="3"/>
        <v>vis</v>
      </c>
      <c r="E17" s="41">
        <f>VLOOKUP(C17,Active!C$21:E$973,3,FALSE)</f>
        <v>4950.0535070014284</v>
      </c>
      <c r="F17" s="3" t="s">
        <v>55</v>
      </c>
      <c r="G17" s="12" t="str">
        <f t="shared" si="4"/>
        <v>50695.5156</v>
      </c>
      <c r="H17" s="13">
        <f t="shared" si="5"/>
        <v>4950</v>
      </c>
      <c r="I17" s="42" t="s">
        <v>163</v>
      </c>
      <c r="J17" s="43" t="s">
        <v>164</v>
      </c>
      <c r="K17" s="42">
        <v>4950</v>
      </c>
      <c r="L17" s="42" t="s">
        <v>165</v>
      </c>
      <c r="M17" s="43" t="s">
        <v>166</v>
      </c>
      <c r="N17" s="43" t="s">
        <v>167</v>
      </c>
      <c r="O17" s="44" t="s">
        <v>168</v>
      </c>
      <c r="P17" s="45" t="s">
        <v>169</v>
      </c>
    </row>
    <row r="18" spans="1:16" ht="12.75" customHeight="1" thickBot="1" x14ac:dyDescent="0.25">
      <c r="A18" s="13" t="str">
        <f t="shared" si="0"/>
        <v>BAVM 117 </v>
      </c>
      <c r="B18" s="3" t="str">
        <f t="shared" si="1"/>
        <v>I</v>
      </c>
      <c r="C18" s="13">
        <f t="shared" si="2"/>
        <v>50744.3272</v>
      </c>
      <c r="D18" s="12" t="str">
        <f t="shared" si="3"/>
        <v>vis</v>
      </c>
      <c r="E18" s="41">
        <f>VLOOKUP(C18,Active!C$21:E$973,3,FALSE)</f>
        <v>4961.0527167337768</v>
      </c>
      <c r="F18" s="3" t="s">
        <v>55</v>
      </c>
      <c r="G18" s="12" t="str">
        <f t="shared" si="4"/>
        <v>50744.3272</v>
      </c>
      <c r="H18" s="13">
        <f t="shared" si="5"/>
        <v>4961</v>
      </c>
      <c r="I18" s="42" t="s">
        <v>170</v>
      </c>
      <c r="J18" s="43" t="s">
        <v>171</v>
      </c>
      <c r="K18" s="42">
        <v>4961</v>
      </c>
      <c r="L18" s="42" t="s">
        <v>172</v>
      </c>
      <c r="M18" s="43" t="s">
        <v>166</v>
      </c>
      <c r="N18" s="43" t="s">
        <v>167</v>
      </c>
      <c r="O18" s="44" t="s">
        <v>168</v>
      </c>
      <c r="P18" s="45" t="s">
        <v>169</v>
      </c>
    </row>
    <row r="19" spans="1:16" ht="12.75" customHeight="1" thickBot="1" x14ac:dyDescent="0.25">
      <c r="A19" s="13" t="str">
        <f t="shared" si="0"/>
        <v>BAVM 172 </v>
      </c>
      <c r="B19" s="3" t="str">
        <f t="shared" si="1"/>
        <v>I</v>
      </c>
      <c r="C19" s="13">
        <f t="shared" si="2"/>
        <v>52954.354700000004</v>
      </c>
      <c r="D19" s="12" t="str">
        <f t="shared" si="3"/>
        <v>vis</v>
      </c>
      <c r="E19" s="41">
        <f>VLOOKUP(C19,Active!C$21:E$973,3,FALSE)</f>
        <v>5459.0604851076132</v>
      </c>
      <c r="F19" s="3" t="s">
        <v>55</v>
      </c>
      <c r="G19" s="12" t="str">
        <f t="shared" si="4"/>
        <v>52954.3547</v>
      </c>
      <c r="H19" s="13">
        <f t="shared" si="5"/>
        <v>5459</v>
      </c>
      <c r="I19" s="42" t="s">
        <v>173</v>
      </c>
      <c r="J19" s="43" t="s">
        <v>174</v>
      </c>
      <c r="K19" s="42">
        <v>5459</v>
      </c>
      <c r="L19" s="42" t="s">
        <v>175</v>
      </c>
      <c r="M19" s="43" t="s">
        <v>166</v>
      </c>
      <c r="N19" s="43" t="s">
        <v>167</v>
      </c>
      <c r="O19" s="44" t="s">
        <v>176</v>
      </c>
      <c r="P19" s="45" t="s">
        <v>177</v>
      </c>
    </row>
    <row r="20" spans="1:16" ht="12.75" customHeight="1" thickBot="1" x14ac:dyDescent="0.25">
      <c r="A20" s="13" t="str">
        <f t="shared" si="0"/>
        <v>BAVM 178 </v>
      </c>
      <c r="B20" s="3" t="str">
        <f t="shared" si="1"/>
        <v>I</v>
      </c>
      <c r="C20" s="13">
        <f t="shared" si="2"/>
        <v>53673.277600000001</v>
      </c>
      <c r="D20" s="12" t="str">
        <f t="shared" si="3"/>
        <v>vis</v>
      </c>
      <c r="E20" s="41">
        <f>VLOOKUP(C20,Active!C$21:E$973,3,FALSE)</f>
        <v>5621.0626271903902</v>
      </c>
      <c r="F20" s="3" t="s">
        <v>55</v>
      </c>
      <c r="G20" s="12" t="str">
        <f t="shared" si="4"/>
        <v>53673.2776</v>
      </c>
      <c r="H20" s="13">
        <f t="shared" si="5"/>
        <v>5621</v>
      </c>
      <c r="I20" s="42" t="s">
        <v>178</v>
      </c>
      <c r="J20" s="43" t="s">
        <v>179</v>
      </c>
      <c r="K20" s="42">
        <v>5621</v>
      </c>
      <c r="L20" s="42" t="s">
        <v>180</v>
      </c>
      <c r="M20" s="43" t="s">
        <v>181</v>
      </c>
      <c r="N20" s="43" t="s">
        <v>167</v>
      </c>
      <c r="O20" s="44" t="s">
        <v>168</v>
      </c>
      <c r="P20" s="45" t="s">
        <v>182</v>
      </c>
    </row>
    <row r="21" spans="1:16" ht="12.75" customHeight="1" thickBot="1" x14ac:dyDescent="0.25">
      <c r="A21" s="13" t="str">
        <f t="shared" si="0"/>
        <v>BAVM 186 </v>
      </c>
      <c r="B21" s="3" t="str">
        <f t="shared" si="1"/>
        <v>I</v>
      </c>
      <c r="C21" s="13">
        <f t="shared" si="2"/>
        <v>54192.477299999999</v>
      </c>
      <c r="D21" s="12" t="str">
        <f t="shared" si="3"/>
        <v>vis</v>
      </c>
      <c r="E21" s="41">
        <f>VLOOKUP(C21,Active!C$21:E$973,3,FALSE)</f>
        <v>5738.059127884324</v>
      </c>
      <c r="F21" s="3" t="s">
        <v>55</v>
      </c>
      <c r="G21" s="12" t="str">
        <f t="shared" si="4"/>
        <v>54192.4773</v>
      </c>
      <c r="H21" s="13">
        <f t="shared" si="5"/>
        <v>5738</v>
      </c>
      <c r="I21" s="42" t="s">
        <v>183</v>
      </c>
      <c r="J21" s="43" t="s">
        <v>184</v>
      </c>
      <c r="K21" s="42">
        <v>5738</v>
      </c>
      <c r="L21" s="42" t="s">
        <v>185</v>
      </c>
      <c r="M21" s="43" t="s">
        <v>181</v>
      </c>
      <c r="N21" s="43" t="s">
        <v>167</v>
      </c>
      <c r="O21" s="44" t="s">
        <v>186</v>
      </c>
      <c r="P21" s="45" t="s">
        <v>187</v>
      </c>
    </row>
    <row r="22" spans="1:16" ht="12.75" customHeight="1" thickBot="1" x14ac:dyDescent="0.25">
      <c r="A22" s="13" t="str">
        <f t="shared" si="0"/>
        <v> PZ 4.369 </v>
      </c>
      <c r="B22" s="3" t="str">
        <f t="shared" si="1"/>
        <v>I</v>
      </c>
      <c r="C22" s="13">
        <f t="shared" si="2"/>
        <v>15291.35</v>
      </c>
      <c r="D22" s="12" t="str">
        <f t="shared" si="3"/>
        <v>vis</v>
      </c>
      <c r="E22" s="41">
        <f>VLOOKUP(C22,Active!C$21:E$973,3,FALSE)</f>
        <v>-3027.923917077555</v>
      </c>
      <c r="F22" s="3" t="s">
        <v>55</v>
      </c>
      <c r="G22" s="12" t="str">
        <f t="shared" si="4"/>
        <v>15291.35</v>
      </c>
      <c r="H22" s="13">
        <f t="shared" si="5"/>
        <v>-3028</v>
      </c>
      <c r="I22" s="42" t="s">
        <v>58</v>
      </c>
      <c r="J22" s="43" t="s">
        <v>59</v>
      </c>
      <c r="K22" s="42">
        <v>-3028</v>
      </c>
      <c r="L22" s="42" t="s">
        <v>60</v>
      </c>
      <c r="M22" s="43" t="s">
        <v>61</v>
      </c>
      <c r="N22" s="43"/>
      <c r="O22" s="44" t="s">
        <v>62</v>
      </c>
      <c r="P22" s="44" t="s">
        <v>63</v>
      </c>
    </row>
    <row r="23" spans="1:16" ht="12.75" customHeight="1" thickBot="1" x14ac:dyDescent="0.25">
      <c r="A23" s="13" t="str">
        <f t="shared" si="0"/>
        <v> PZ 4.369 </v>
      </c>
      <c r="B23" s="3" t="str">
        <f t="shared" si="1"/>
        <v>I</v>
      </c>
      <c r="C23" s="13">
        <f t="shared" si="2"/>
        <v>16711.37</v>
      </c>
      <c r="D23" s="12" t="str">
        <f t="shared" si="3"/>
        <v>vis</v>
      </c>
      <c r="E23" s="41">
        <f>VLOOKUP(C23,Active!C$21:E$973,3,FALSE)</f>
        <v>-2707.9365000674893</v>
      </c>
      <c r="F23" s="3" t="s">
        <v>55</v>
      </c>
      <c r="G23" s="12" t="str">
        <f t="shared" si="4"/>
        <v>16711.37</v>
      </c>
      <c r="H23" s="13">
        <f t="shared" si="5"/>
        <v>-2708</v>
      </c>
      <c r="I23" s="42" t="s">
        <v>64</v>
      </c>
      <c r="J23" s="43" t="s">
        <v>65</v>
      </c>
      <c r="K23" s="42">
        <v>-2708</v>
      </c>
      <c r="L23" s="42" t="s">
        <v>66</v>
      </c>
      <c r="M23" s="43" t="s">
        <v>61</v>
      </c>
      <c r="N23" s="43"/>
      <c r="O23" s="44" t="s">
        <v>62</v>
      </c>
      <c r="P23" s="44" t="s">
        <v>63</v>
      </c>
    </row>
    <row r="24" spans="1:16" ht="12.75" customHeight="1" thickBot="1" x14ac:dyDescent="0.25">
      <c r="A24" s="13" t="str">
        <f t="shared" si="0"/>
        <v> PSMO 16.246 </v>
      </c>
      <c r="B24" s="3" t="str">
        <f t="shared" si="1"/>
        <v>I</v>
      </c>
      <c r="C24" s="13">
        <f t="shared" si="2"/>
        <v>28573.200000000001</v>
      </c>
      <c r="D24" s="12" t="str">
        <f t="shared" si="3"/>
        <v>vis</v>
      </c>
      <c r="E24" s="41">
        <f>VLOOKUP(C24,Active!C$21:E$973,3,FALSE)</f>
        <v>-34.990807251533568</v>
      </c>
      <c r="F24" s="3" t="s">
        <v>55</v>
      </c>
      <c r="G24" s="12" t="str">
        <f t="shared" si="4"/>
        <v>28573.20</v>
      </c>
      <c r="H24" s="13">
        <f t="shared" si="5"/>
        <v>-35</v>
      </c>
      <c r="I24" s="42" t="s">
        <v>67</v>
      </c>
      <c r="J24" s="43" t="s">
        <v>68</v>
      </c>
      <c r="K24" s="42">
        <v>-35</v>
      </c>
      <c r="L24" s="42" t="s">
        <v>69</v>
      </c>
      <c r="M24" s="43" t="s">
        <v>61</v>
      </c>
      <c r="N24" s="43"/>
      <c r="O24" s="44" t="s">
        <v>70</v>
      </c>
      <c r="P24" s="44" t="s">
        <v>71</v>
      </c>
    </row>
    <row r="25" spans="1:16" ht="12.75" customHeight="1" thickBot="1" x14ac:dyDescent="0.25">
      <c r="A25" s="13" t="str">
        <f t="shared" si="0"/>
        <v> KVBB 28.66 </v>
      </c>
      <c r="B25" s="3" t="str">
        <f t="shared" si="1"/>
        <v>I</v>
      </c>
      <c r="C25" s="13">
        <f t="shared" si="2"/>
        <v>28635.360000000001</v>
      </c>
      <c r="D25" s="12" t="str">
        <f t="shared" si="3"/>
        <v>vis</v>
      </c>
      <c r="E25" s="41">
        <f>VLOOKUP(C25,Active!C$21:E$973,3,FALSE)</f>
        <v>-20.98366802719471</v>
      </c>
      <c r="F25" s="3" t="s">
        <v>55</v>
      </c>
      <c r="G25" s="12" t="str">
        <f t="shared" si="4"/>
        <v>28635.36</v>
      </c>
      <c r="H25" s="13">
        <f t="shared" si="5"/>
        <v>-21</v>
      </c>
      <c r="I25" s="42" t="s">
        <v>72</v>
      </c>
      <c r="J25" s="43" t="s">
        <v>73</v>
      </c>
      <c r="K25" s="42">
        <v>-21</v>
      </c>
      <c r="L25" s="42" t="s">
        <v>74</v>
      </c>
      <c r="M25" s="43" t="s">
        <v>61</v>
      </c>
      <c r="N25" s="43"/>
      <c r="O25" s="44" t="s">
        <v>75</v>
      </c>
      <c r="P25" s="44" t="s">
        <v>76</v>
      </c>
    </row>
    <row r="26" spans="1:16" ht="12.75" customHeight="1" thickBot="1" x14ac:dyDescent="0.25">
      <c r="A26" s="13" t="str">
        <f t="shared" si="0"/>
        <v> PSMO 16.246 </v>
      </c>
      <c r="B26" s="3" t="str">
        <f t="shared" si="1"/>
        <v>I</v>
      </c>
      <c r="C26" s="13">
        <f t="shared" si="2"/>
        <v>28728.400000000001</v>
      </c>
      <c r="D26" s="12" t="str">
        <f t="shared" si="3"/>
        <v>vis</v>
      </c>
      <c r="E26" s="41">
        <f>VLOOKUP(C26,Active!C$21:E$973,3,FALSE)</f>
        <v>-1.8027206208504076E-2</v>
      </c>
      <c r="F26" s="3" t="s">
        <v>55</v>
      </c>
      <c r="G26" s="12" t="str">
        <f t="shared" si="4"/>
        <v>28728.40</v>
      </c>
      <c r="H26" s="13">
        <f t="shared" si="5"/>
        <v>0</v>
      </c>
      <c r="I26" s="42" t="s">
        <v>77</v>
      </c>
      <c r="J26" s="43" t="s">
        <v>78</v>
      </c>
      <c r="K26" s="42">
        <v>0</v>
      </c>
      <c r="L26" s="42" t="s">
        <v>79</v>
      </c>
      <c r="M26" s="43" t="s">
        <v>61</v>
      </c>
      <c r="N26" s="43"/>
      <c r="O26" s="44" t="s">
        <v>70</v>
      </c>
      <c r="P26" s="44" t="s">
        <v>71</v>
      </c>
    </row>
    <row r="27" spans="1:16" ht="12.75" customHeight="1" thickBot="1" x14ac:dyDescent="0.25">
      <c r="A27" s="13" t="str">
        <f t="shared" si="0"/>
        <v> PSMO 16.246 </v>
      </c>
      <c r="B27" s="3" t="str">
        <f t="shared" si="1"/>
        <v>I</v>
      </c>
      <c r="C27" s="13">
        <f t="shared" si="2"/>
        <v>28746.23</v>
      </c>
      <c r="D27" s="12" t="str">
        <f t="shared" si="3"/>
        <v>vis</v>
      </c>
      <c r="E27" s="41">
        <f>VLOOKUP(C27,Active!C$21:E$973,3,FALSE)</f>
        <v>3.9997863776064237</v>
      </c>
      <c r="F27" s="3" t="s">
        <v>55</v>
      </c>
      <c r="G27" s="12" t="str">
        <f t="shared" si="4"/>
        <v>28746.23</v>
      </c>
      <c r="H27" s="13">
        <f t="shared" si="5"/>
        <v>4</v>
      </c>
      <c r="I27" s="42" t="s">
        <v>80</v>
      </c>
      <c r="J27" s="43" t="s">
        <v>81</v>
      </c>
      <c r="K27" s="42">
        <v>4</v>
      </c>
      <c r="L27" s="42" t="s">
        <v>82</v>
      </c>
      <c r="M27" s="43" t="s">
        <v>61</v>
      </c>
      <c r="N27" s="43"/>
      <c r="O27" s="44" t="s">
        <v>70</v>
      </c>
      <c r="P27" s="44" t="s">
        <v>71</v>
      </c>
    </row>
    <row r="28" spans="1:16" ht="12.75" customHeight="1" thickBot="1" x14ac:dyDescent="0.25">
      <c r="A28" s="13" t="str">
        <f t="shared" si="0"/>
        <v> PSMO 16.246 </v>
      </c>
      <c r="B28" s="3" t="str">
        <f t="shared" si="1"/>
        <v>I</v>
      </c>
      <c r="C28" s="13">
        <f t="shared" si="2"/>
        <v>28755.18</v>
      </c>
      <c r="D28" s="12" t="str">
        <f t="shared" si="3"/>
        <v>vis</v>
      </c>
      <c r="E28" s="41">
        <f>VLOOKUP(C28,Active!C$21:E$973,3,FALSE)</f>
        <v>6.0165800722306724</v>
      </c>
      <c r="F28" s="3" t="s">
        <v>55</v>
      </c>
      <c r="G28" s="12" t="str">
        <f t="shared" si="4"/>
        <v>28755.18</v>
      </c>
      <c r="H28" s="13">
        <f t="shared" si="5"/>
        <v>6</v>
      </c>
      <c r="I28" s="42" t="s">
        <v>83</v>
      </c>
      <c r="J28" s="43" t="s">
        <v>84</v>
      </c>
      <c r="K28" s="42">
        <v>6</v>
      </c>
      <c r="L28" s="42" t="s">
        <v>74</v>
      </c>
      <c r="M28" s="43" t="s">
        <v>61</v>
      </c>
      <c r="N28" s="43"/>
      <c r="O28" s="44" t="s">
        <v>70</v>
      </c>
      <c r="P28" s="44" t="s">
        <v>71</v>
      </c>
    </row>
    <row r="29" spans="1:16" ht="12.75" customHeight="1" thickBot="1" x14ac:dyDescent="0.25">
      <c r="A29" s="13" t="str">
        <f t="shared" si="0"/>
        <v> KVBB 28.66 </v>
      </c>
      <c r="B29" s="3" t="str">
        <f t="shared" si="1"/>
        <v>I</v>
      </c>
      <c r="C29" s="13">
        <f t="shared" si="2"/>
        <v>28808.49</v>
      </c>
      <c r="D29" s="12" t="str">
        <f t="shared" si="3"/>
        <v>vis</v>
      </c>
      <c r="E29" s="41">
        <f>VLOOKUP(C29,Active!C$21:E$973,3,FALSE)</f>
        <v>18.029459609706937</v>
      </c>
      <c r="F29" s="3" t="s">
        <v>55</v>
      </c>
      <c r="G29" s="12" t="str">
        <f t="shared" si="4"/>
        <v>28808.49</v>
      </c>
      <c r="H29" s="13">
        <f t="shared" si="5"/>
        <v>18</v>
      </c>
      <c r="I29" s="42" t="s">
        <v>85</v>
      </c>
      <c r="J29" s="43" t="s">
        <v>86</v>
      </c>
      <c r="K29" s="42">
        <v>18</v>
      </c>
      <c r="L29" s="42" t="s">
        <v>87</v>
      </c>
      <c r="M29" s="43" t="s">
        <v>61</v>
      </c>
      <c r="N29" s="43"/>
      <c r="O29" s="44" t="s">
        <v>75</v>
      </c>
      <c r="P29" s="44" t="s">
        <v>76</v>
      </c>
    </row>
    <row r="30" spans="1:16" ht="12.75" customHeight="1" thickBot="1" x14ac:dyDescent="0.25">
      <c r="A30" s="13" t="str">
        <f t="shared" si="0"/>
        <v> PSMO 16.246 </v>
      </c>
      <c r="B30" s="3" t="str">
        <f t="shared" si="1"/>
        <v>I</v>
      </c>
      <c r="C30" s="13">
        <f t="shared" si="2"/>
        <v>29132.36</v>
      </c>
      <c r="D30" s="12" t="str">
        <f t="shared" si="3"/>
        <v>vis</v>
      </c>
      <c r="E30" s="41">
        <f>VLOOKUP(C30,Active!C$21:E$973,3,FALSE)</f>
        <v>91.010350545785158</v>
      </c>
      <c r="F30" s="3" t="s">
        <v>55</v>
      </c>
      <c r="G30" s="12" t="str">
        <f t="shared" si="4"/>
        <v>29132.36</v>
      </c>
      <c r="H30" s="13">
        <f t="shared" si="5"/>
        <v>91</v>
      </c>
      <c r="I30" s="42" t="s">
        <v>88</v>
      </c>
      <c r="J30" s="43" t="s">
        <v>89</v>
      </c>
      <c r="K30" s="42">
        <v>91</v>
      </c>
      <c r="L30" s="42" t="s">
        <v>90</v>
      </c>
      <c r="M30" s="43" t="s">
        <v>61</v>
      </c>
      <c r="N30" s="43"/>
      <c r="O30" s="44" t="s">
        <v>70</v>
      </c>
      <c r="P30" s="44" t="s">
        <v>71</v>
      </c>
    </row>
    <row r="31" spans="1:16" ht="12.75" customHeight="1" thickBot="1" x14ac:dyDescent="0.25">
      <c r="A31" s="13" t="str">
        <f t="shared" si="0"/>
        <v> KVBB 28.66 </v>
      </c>
      <c r="B31" s="3" t="str">
        <f t="shared" si="1"/>
        <v>I</v>
      </c>
      <c r="C31" s="13">
        <f t="shared" si="2"/>
        <v>29194.49</v>
      </c>
      <c r="D31" s="12" t="str">
        <f t="shared" si="3"/>
        <v>vis</v>
      </c>
      <c r="E31" s="41">
        <f>VLOOKUP(C31,Active!C$21:E$973,3,FALSE)</f>
        <v>105.01072956779593</v>
      </c>
      <c r="F31" s="3" t="s">
        <v>55</v>
      </c>
      <c r="G31" s="12" t="str">
        <f t="shared" si="4"/>
        <v>29194.49</v>
      </c>
      <c r="H31" s="13">
        <f t="shared" si="5"/>
        <v>105</v>
      </c>
      <c r="I31" s="42" t="s">
        <v>91</v>
      </c>
      <c r="J31" s="43" t="s">
        <v>92</v>
      </c>
      <c r="K31" s="42">
        <v>105</v>
      </c>
      <c r="L31" s="42" t="s">
        <v>90</v>
      </c>
      <c r="M31" s="43" t="s">
        <v>61</v>
      </c>
      <c r="N31" s="43"/>
      <c r="O31" s="44" t="s">
        <v>75</v>
      </c>
      <c r="P31" s="44" t="s">
        <v>76</v>
      </c>
    </row>
    <row r="32" spans="1:16" ht="12.75" customHeight="1" thickBot="1" x14ac:dyDescent="0.25">
      <c r="A32" s="13" t="str">
        <f t="shared" si="0"/>
        <v> KVBB 28.66 </v>
      </c>
      <c r="B32" s="3" t="str">
        <f t="shared" si="1"/>
        <v>I</v>
      </c>
      <c r="C32" s="13">
        <f t="shared" si="2"/>
        <v>29243.27</v>
      </c>
      <c r="D32" s="12" t="str">
        <f t="shared" si="3"/>
        <v>vis</v>
      </c>
      <c r="E32" s="41">
        <f>VLOOKUP(C32,Active!C$21:E$973,3,FALSE)</f>
        <v>116.00281855369096</v>
      </c>
      <c r="F32" s="3" t="s">
        <v>55</v>
      </c>
      <c r="G32" s="12" t="str">
        <f t="shared" si="4"/>
        <v>29243.27</v>
      </c>
      <c r="H32" s="13">
        <f t="shared" si="5"/>
        <v>116</v>
      </c>
      <c r="I32" s="42" t="s">
        <v>93</v>
      </c>
      <c r="J32" s="43" t="s">
        <v>94</v>
      </c>
      <c r="K32" s="42">
        <v>116</v>
      </c>
      <c r="L32" s="42" t="s">
        <v>95</v>
      </c>
      <c r="M32" s="43" t="s">
        <v>61</v>
      </c>
      <c r="N32" s="43"/>
      <c r="O32" s="44" t="s">
        <v>75</v>
      </c>
      <c r="P32" s="44" t="s">
        <v>76</v>
      </c>
    </row>
    <row r="33" spans="1:16" ht="12.75" customHeight="1" thickBot="1" x14ac:dyDescent="0.25">
      <c r="A33" s="13" t="str">
        <f t="shared" si="0"/>
        <v> KVBB 28.66 </v>
      </c>
      <c r="B33" s="3" t="str">
        <f t="shared" si="1"/>
        <v>I</v>
      </c>
      <c r="C33" s="13">
        <f t="shared" si="2"/>
        <v>29252.25</v>
      </c>
      <c r="D33" s="12" t="str">
        <f t="shared" si="3"/>
        <v>vis</v>
      </c>
      <c r="E33" s="41">
        <f>VLOOKUP(C33,Active!C$21:E$973,3,FALSE)</f>
        <v>118.02637245064329</v>
      </c>
      <c r="F33" s="3" t="s">
        <v>55</v>
      </c>
      <c r="G33" s="12" t="str">
        <f t="shared" si="4"/>
        <v>29252.25</v>
      </c>
      <c r="H33" s="13">
        <f t="shared" si="5"/>
        <v>118</v>
      </c>
      <c r="I33" s="42" t="s">
        <v>96</v>
      </c>
      <c r="J33" s="43" t="s">
        <v>97</v>
      </c>
      <c r="K33" s="42">
        <v>118</v>
      </c>
      <c r="L33" s="42" t="s">
        <v>98</v>
      </c>
      <c r="M33" s="43" t="s">
        <v>61</v>
      </c>
      <c r="N33" s="43"/>
      <c r="O33" s="44" t="s">
        <v>75</v>
      </c>
      <c r="P33" s="44" t="s">
        <v>76</v>
      </c>
    </row>
    <row r="34" spans="1:16" ht="12.75" customHeight="1" thickBot="1" x14ac:dyDescent="0.25">
      <c r="A34" s="13" t="str">
        <f t="shared" si="0"/>
        <v> PSMO 16.246 </v>
      </c>
      <c r="B34" s="3" t="str">
        <f t="shared" si="1"/>
        <v>I</v>
      </c>
      <c r="C34" s="13">
        <f t="shared" si="2"/>
        <v>29456.27</v>
      </c>
      <c r="D34" s="12" t="str">
        <f t="shared" si="3"/>
        <v>vis</v>
      </c>
      <c r="E34" s="41">
        <f>VLOOKUP(C34,Active!C$21:E$973,3,FALSE)</f>
        <v>164.00025508496805</v>
      </c>
      <c r="F34" s="3" t="s">
        <v>55</v>
      </c>
      <c r="G34" s="12" t="str">
        <f t="shared" si="4"/>
        <v>29456.27</v>
      </c>
      <c r="H34" s="13">
        <f t="shared" si="5"/>
        <v>164</v>
      </c>
      <c r="I34" s="42" t="s">
        <v>99</v>
      </c>
      <c r="J34" s="43" t="s">
        <v>100</v>
      </c>
      <c r="K34" s="42">
        <v>164</v>
      </c>
      <c r="L34" s="42" t="s">
        <v>101</v>
      </c>
      <c r="M34" s="43" t="s">
        <v>61</v>
      </c>
      <c r="N34" s="43"/>
      <c r="O34" s="44" t="s">
        <v>70</v>
      </c>
      <c r="P34" s="44" t="s">
        <v>71</v>
      </c>
    </row>
    <row r="35" spans="1:16" ht="12.75" customHeight="1" thickBot="1" x14ac:dyDescent="0.25">
      <c r="A35" s="13" t="str">
        <f t="shared" si="0"/>
        <v> PSMO 16.246 </v>
      </c>
      <c r="B35" s="3" t="str">
        <f t="shared" si="1"/>
        <v>I</v>
      </c>
      <c r="C35" s="13">
        <f t="shared" si="2"/>
        <v>29465.14</v>
      </c>
      <c r="D35" s="12" t="str">
        <f t="shared" si="3"/>
        <v>vis</v>
      </c>
      <c r="E35" s="41">
        <f>VLOOKUP(C35,Active!C$21:E$973,3,FALSE)</f>
        <v>165.99902157338298</v>
      </c>
      <c r="F35" s="3" t="s">
        <v>55</v>
      </c>
      <c r="G35" s="12" t="str">
        <f t="shared" si="4"/>
        <v>29465.14</v>
      </c>
      <c r="H35" s="13">
        <f t="shared" si="5"/>
        <v>166</v>
      </c>
      <c r="I35" s="42" t="s">
        <v>102</v>
      </c>
      <c r="J35" s="43" t="s">
        <v>103</v>
      </c>
      <c r="K35" s="42">
        <v>166</v>
      </c>
      <c r="L35" s="42" t="s">
        <v>82</v>
      </c>
      <c r="M35" s="43" t="s">
        <v>61</v>
      </c>
      <c r="N35" s="43"/>
      <c r="O35" s="44" t="s">
        <v>70</v>
      </c>
      <c r="P35" s="44" t="s">
        <v>71</v>
      </c>
    </row>
    <row r="36" spans="1:16" ht="12.75" customHeight="1" thickBot="1" x14ac:dyDescent="0.25">
      <c r="A36" s="13" t="str">
        <f t="shared" si="0"/>
        <v> KVBB 28.66 </v>
      </c>
      <c r="B36" s="3" t="str">
        <f t="shared" si="1"/>
        <v>I</v>
      </c>
      <c r="C36" s="13">
        <f t="shared" si="2"/>
        <v>29638.31</v>
      </c>
      <c r="D36" s="12" t="str">
        <f t="shared" si="3"/>
        <v>vis</v>
      </c>
      <c r="E36" s="41">
        <f>VLOOKUP(C36,Active!C$21:E$973,3,FALSE)</f>
        <v>205.02116281338928</v>
      </c>
      <c r="F36" s="3" t="s">
        <v>55</v>
      </c>
      <c r="G36" s="12" t="str">
        <f t="shared" si="4"/>
        <v>29638.31</v>
      </c>
      <c r="H36" s="13">
        <f t="shared" si="5"/>
        <v>205</v>
      </c>
      <c r="I36" s="42" t="s">
        <v>104</v>
      </c>
      <c r="J36" s="43" t="s">
        <v>105</v>
      </c>
      <c r="K36" s="42">
        <v>205</v>
      </c>
      <c r="L36" s="42" t="s">
        <v>106</v>
      </c>
      <c r="M36" s="43" t="s">
        <v>61</v>
      </c>
      <c r="N36" s="43"/>
      <c r="O36" s="44" t="s">
        <v>75</v>
      </c>
      <c r="P36" s="44" t="s">
        <v>76</v>
      </c>
    </row>
    <row r="37" spans="1:16" ht="12.75" customHeight="1" thickBot="1" x14ac:dyDescent="0.25">
      <c r="A37" s="13" t="str">
        <f t="shared" si="0"/>
        <v> KVBB 28.66 </v>
      </c>
      <c r="B37" s="3" t="str">
        <f t="shared" si="1"/>
        <v>I</v>
      </c>
      <c r="C37" s="13">
        <f t="shared" si="2"/>
        <v>29691.4</v>
      </c>
      <c r="D37" s="12" t="str">
        <f t="shared" si="3"/>
        <v>vis</v>
      </c>
      <c r="E37" s="41">
        <f>VLOOKUP(C37,Active!C$21:E$973,3,FALSE)</f>
        <v>216.98446753379073</v>
      </c>
      <c r="F37" s="3" t="s">
        <v>55</v>
      </c>
      <c r="G37" s="12" t="str">
        <f t="shared" si="4"/>
        <v>29691.40</v>
      </c>
      <c r="H37" s="13">
        <f t="shared" si="5"/>
        <v>217</v>
      </c>
      <c r="I37" s="42" t="s">
        <v>107</v>
      </c>
      <c r="J37" s="43" t="s">
        <v>108</v>
      </c>
      <c r="K37" s="42">
        <v>217</v>
      </c>
      <c r="L37" s="42" t="s">
        <v>109</v>
      </c>
      <c r="M37" s="43" t="s">
        <v>61</v>
      </c>
      <c r="N37" s="43"/>
      <c r="O37" s="44" t="s">
        <v>75</v>
      </c>
      <c r="P37" s="44" t="s">
        <v>76</v>
      </c>
    </row>
    <row r="38" spans="1:16" ht="12.75" customHeight="1" thickBot="1" x14ac:dyDescent="0.25">
      <c r="A38" s="13" t="str">
        <f t="shared" si="0"/>
        <v> KVBB 28.66 </v>
      </c>
      <c r="B38" s="3" t="str">
        <f t="shared" si="1"/>
        <v>I</v>
      </c>
      <c r="C38" s="13">
        <f t="shared" si="2"/>
        <v>29953.23</v>
      </c>
      <c r="D38" s="12" t="str">
        <f t="shared" si="3"/>
        <v>vis</v>
      </c>
      <c r="E38" s="41">
        <f>VLOOKUP(C38,Active!C$21:E$973,3,FALSE)</f>
        <v>275.98526005484325</v>
      </c>
      <c r="F38" s="3" t="s">
        <v>55</v>
      </c>
      <c r="G38" s="12" t="str">
        <f t="shared" si="4"/>
        <v>29953.23</v>
      </c>
      <c r="H38" s="13">
        <f t="shared" si="5"/>
        <v>276</v>
      </c>
      <c r="I38" s="42" t="s">
        <v>110</v>
      </c>
      <c r="J38" s="43" t="s">
        <v>111</v>
      </c>
      <c r="K38" s="42">
        <v>276</v>
      </c>
      <c r="L38" s="42" t="s">
        <v>109</v>
      </c>
      <c r="M38" s="43" t="s">
        <v>61</v>
      </c>
      <c r="N38" s="43"/>
      <c r="O38" s="44" t="s">
        <v>75</v>
      </c>
      <c r="P38" s="44" t="s">
        <v>76</v>
      </c>
    </row>
    <row r="39" spans="1:16" ht="12.75" customHeight="1" thickBot="1" x14ac:dyDescent="0.25">
      <c r="A39" s="13" t="str">
        <f t="shared" si="0"/>
        <v> KVBB 28.66 </v>
      </c>
      <c r="B39" s="3" t="str">
        <f t="shared" si="1"/>
        <v>I</v>
      </c>
      <c r="C39" s="13">
        <f t="shared" si="2"/>
        <v>29984.400000000001</v>
      </c>
      <c r="D39" s="12" t="str">
        <f t="shared" si="3"/>
        <v>vis</v>
      </c>
      <c r="E39" s="41">
        <f>VLOOKUP(C39,Active!C$21:E$973,3,FALSE)</f>
        <v>283.00911027399815</v>
      </c>
      <c r="F39" s="3" t="s">
        <v>55</v>
      </c>
      <c r="G39" s="12" t="str">
        <f t="shared" si="4"/>
        <v>29984.40</v>
      </c>
      <c r="H39" s="13">
        <f t="shared" si="5"/>
        <v>283</v>
      </c>
      <c r="I39" s="42" t="s">
        <v>112</v>
      </c>
      <c r="J39" s="43" t="s">
        <v>113</v>
      </c>
      <c r="K39" s="42">
        <v>283</v>
      </c>
      <c r="L39" s="42" t="s">
        <v>69</v>
      </c>
      <c r="M39" s="43" t="s">
        <v>61</v>
      </c>
      <c r="N39" s="43"/>
      <c r="O39" s="44" t="s">
        <v>75</v>
      </c>
      <c r="P39" s="44" t="s">
        <v>76</v>
      </c>
    </row>
    <row r="40" spans="1:16" ht="12.75" customHeight="1" thickBot="1" x14ac:dyDescent="0.25">
      <c r="A40" s="13" t="str">
        <f t="shared" si="0"/>
        <v> KVBB 28.66 </v>
      </c>
      <c r="B40" s="3" t="str">
        <f t="shared" si="1"/>
        <v>I</v>
      </c>
      <c r="C40" s="13">
        <f t="shared" si="2"/>
        <v>30024.27</v>
      </c>
      <c r="D40" s="12" t="str">
        <f t="shared" si="3"/>
        <v>vis</v>
      </c>
      <c r="E40" s="41">
        <f>VLOOKUP(C40,Active!C$21:E$973,3,FALSE)</f>
        <v>291.99341916837363</v>
      </c>
      <c r="F40" s="3" t="s">
        <v>55</v>
      </c>
      <c r="G40" s="12" t="str">
        <f t="shared" si="4"/>
        <v>30024.27</v>
      </c>
      <c r="H40" s="13">
        <f t="shared" si="5"/>
        <v>292</v>
      </c>
      <c r="I40" s="42" t="s">
        <v>114</v>
      </c>
      <c r="J40" s="43" t="s">
        <v>115</v>
      </c>
      <c r="K40" s="42">
        <v>292</v>
      </c>
      <c r="L40" s="42" t="s">
        <v>116</v>
      </c>
      <c r="M40" s="43" t="s">
        <v>61</v>
      </c>
      <c r="N40" s="43"/>
      <c r="O40" s="44" t="s">
        <v>75</v>
      </c>
      <c r="P40" s="44" t="s">
        <v>76</v>
      </c>
    </row>
    <row r="41" spans="1:16" ht="12.75" customHeight="1" thickBot="1" x14ac:dyDescent="0.25">
      <c r="A41" s="13" t="str">
        <f t="shared" si="0"/>
        <v> MSAI 29.489 </v>
      </c>
      <c r="B41" s="3" t="str">
        <f t="shared" si="1"/>
        <v>I</v>
      </c>
      <c r="C41" s="13">
        <f t="shared" si="2"/>
        <v>35034.338000000003</v>
      </c>
      <c r="D41" s="12" t="str">
        <f t="shared" si="3"/>
        <v>vis</v>
      </c>
      <c r="E41" s="41">
        <f>VLOOKUP(C41,Active!C$21:E$973,3,FALSE)</f>
        <v>1420.9625311279158</v>
      </c>
      <c r="F41" s="3" t="s">
        <v>55</v>
      </c>
      <c r="G41" s="12" t="str">
        <f t="shared" si="4"/>
        <v>35034.338</v>
      </c>
      <c r="H41" s="13">
        <f t="shared" si="5"/>
        <v>1421</v>
      </c>
      <c r="I41" s="42" t="s">
        <v>134</v>
      </c>
      <c r="J41" s="43" t="s">
        <v>135</v>
      </c>
      <c r="K41" s="42">
        <v>1421</v>
      </c>
      <c r="L41" s="42" t="s">
        <v>136</v>
      </c>
      <c r="M41" s="43" t="s">
        <v>61</v>
      </c>
      <c r="N41" s="43"/>
      <c r="O41" s="44" t="s">
        <v>137</v>
      </c>
      <c r="P41" s="44" t="s">
        <v>138</v>
      </c>
    </row>
    <row r="42" spans="1:16" ht="12.75" customHeight="1" thickBot="1" x14ac:dyDescent="0.25">
      <c r="A42" s="13" t="str">
        <f t="shared" si="0"/>
        <v> MSAI 29.489 </v>
      </c>
      <c r="B42" s="3" t="str">
        <f t="shared" si="1"/>
        <v>I</v>
      </c>
      <c r="C42" s="13">
        <f t="shared" si="2"/>
        <v>35061.22</v>
      </c>
      <c r="D42" s="12" t="str">
        <f t="shared" si="3"/>
        <v>vis</v>
      </c>
      <c r="E42" s="41">
        <f>VLOOKUP(C42,Active!C$21:E$973,3,FALSE)</f>
        <v>1427.0201230942712</v>
      </c>
      <c r="F42" s="3" t="s">
        <v>55</v>
      </c>
      <c r="G42" s="12" t="str">
        <f t="shared" si="4"/>
        <v>35061.220</v>
      </c>
      <c r="H42" s="13">
        <f t="shared" si="5"/>
        <v>1427</v>
      </c>
      <c r="I42" s="42" t="s">
        <v>139</v>
      </c>
      <c r="J42" s="43" t="s">
        <v>140</v>
      </c>
      <c r="K42" s="42">
        <v>1427</v>
      </c>
      <c r="L42" s="42" t="s">
        <v>141</v>
      </c>
      <c r="M42" s="43" t="s">
        <v>61</v>
      </c>
      <c r="N42" s="43"/>
      <c r="O42" s="44" t="s">
        <v>137</v>
      </c>
      <c r="P42" s="44" t="s">
        <v>138</v>
      </c>
    </row>
    <row r="43" spans="1:16" ht="12.75" customHeight="1" thickBot="1" x14ac:dyDescent="0.25">
      <c r="A43" s="13" t="str">
        <f t="shared" si="0"/>
        <v> MSAI 29.489 </v>
      </c>
      <c r="B43" s="3" t="str">
        <f t="shared" si="1"/>
        <v>I</v>
      </c>
      <c r="C43" s="13">
        <f t="shared" si="2"/>
        <v>35132.300000000003</v>
      </c>
      <c r="D43" s="12" t="str">
        <f t="shared" si="3"/>
        <v>vis</v>
      </c>
      <c r="E43" s="41">
        <f>VLOOKUP(C43,Active!C$21:E$973,3,FALSE)</f>
        <v>1443.037295810906</v>
      </c>
      <c r="F43" s="3" t="s">
        <v>55</v>
      </c>
      <c r="G43" s="12" t="str">
        <f t="shared" si="4"/>
        <v>35132.300</v>
      </c>
      <c r="H43" s="13">
        <f t="shared" si="5"/>
        <v>1443</v>
      </c>
      <c r="I43" s="42" t="s">
        <v>142</v>
      </c>
      <c r="J43" s="43" t="s">
        <v>143</v>
      </c>
      <c r="K43" s="42">
        <v>1443</v>
      </c>
      <c r="L43" s="42" t="s">
        <v>144</v>
      </c>
      <c r="M43" s="43" t="s">
        <v>61</v>
      </c>
      <c r="N43" s="43"/>
      <c r="O43" s="44" t="s">
        <v>137</v>
      </c>
      <c r="P43" s="44" t="s">
        <v>138</v>
      </c>
    </row>
    <row r="44" spans="1:16" ht="12.75" customHeight="1" thickBot="1" x14ac:dyDescent="0.25">
      <c r="A44" s="13" t="str">
        <f t="shared" si="0"/>
        <v> MSAI 29.489 </v>
      </c>
      <c r="B44" s="3" t="str">
        <f t="shared" si="1"/>
        <v>I</v>
      </c>
      <c r="C44" s="13">
        <f t="shared" si="2"/>
        <v>35336.328999999998</v>
      </c>
      <c r="D44" s="12" t="str">
        <f t="shared" si="3"/>
        <v>vis</v>
      </c>
      <c r="E44" s="41">
        <f>VLOOKUP(C44,Active!C$21:E$973,3,FALSE)</f>
        <v>1489.0132065059281</v>
      </c>
      <c r="F44" s="3" t="s">
        <v>55</v>
      </c>
      <c r="G44" s="12" t="str">
        <f t="shared" si="4"/>
        <v>35336.329</v>
      </c>
      <c r="H44" s="13">
        <f t="shared" si="5"/>
        <v>1489</v>
      </c>
      <c r="I44" s="42" t="s">
        <v>145</v>
      </c>
      <c r="J44" s="43" t="s">
        <v>146</v>
      </c>
      <c r="K44" s="42">
        <v>1489</v>
      </c>
      <c r="L44" s="42" t="s">
        <v>147</v>
      </c>
      <c r="M44" s="43" t="s">
        <v>61</v>
      </c>
      <c r="N44" s="43"/>
      <c r="O44" s="44" t="s">
        <v>137</v>
      </c>
      <c r="P44" s="44" t="s">
        <v>138</v>
      </c>
    </row>
    <row r="45" spans="1:16" ht="12.75" customHeight="1" thickBot="1" x14ac:dyDescent="0.25">
      <c r="A45" s="13" t="str">
        <f t="shared" si="0"/>
        <v> MSAI 29.489 </v>
      </c>
      <c r="B45" s="3" t="str">
        <f t="shared" si="1"/>
        <v>I</v>
      </c>
      <c r="C45" s="13">
        <f t="shared" si="2"/>
        <v>35367.379000000001</v>
      </c>
      <c r="D45" s="12" t="str">
        <f t="shared" si="3"/>
        <v>vis</v>
      </c>
      <c r="E45" s="41">
        <f>VLOOKUP(C45,Active!C$21:E$973,3,FALSE)</f>
        <v>1496.0100159157698</v>
      </c>
      <c r="F45" s="3" t="s">
        <v>55</v>
      </c>
      <c r="G45" s="12" t="str">
        <f t="shared" si="4"/>
        <v>35367.379</v>
      </c>
      <c r="H45" s="13">
        <f t="shared" si="5"/>
        <v>1496</v>
      </c>
      <c r="I45" s="42" t="s">
        <v>148</v>
      </c>
      <c r="J45" s="43" t="s">
        <v>149</v>
      </c>
      <c r="K45" s="42">
        <v>1496</v>
      </c>
      <c r="L45" s="42" t="s">
        <v>150</v>
      </c>
      <c r="M45" s="43" t="s">
        <v>61</v>
      </c>
      <c r="N45" s="43"/>
      <c r="O45" s="44" t="s">
        <v>137</v>
      </c>
      <c r="P45" s="44" t="s">
        <v>138</v>
      </c>
    </row>
    <row r="46" spans="1:16" ht="12.75" customHeight="1" thickBot="1" x14ac:dyDescent="0.25">
      <c r="A46" s="13" t="str">
        <f t="shared" si="0"/>
        <v> MSAI 29.489 </v>
      </c>
      <c r="B46" s="3" t="str">
        <f t="shared" si="1"/>
        <v>I</v>
      </c>
      <c r="C46" s="13">
        <f t="shared" si="2"/>
        <v>35429.373</v>
      </c>
      <c r="D46" s="12" t="str">
        <f t="shared" si="3"/>
        <v>vis</v>
      </c>
      <c r="E46" s="41">
        <f>VLOOKUP(C46,Active!C$21:E$973,3,FALSE)</f>
        <v>1509.9797486872249</v>
      </c>
      <c r="F46" s="3" t="s">
        <v>55</v>
      </c>
      <c r="G46" s="12" t="str">
        <f t="shared" si="4"/>
        <v>35429.373</v>
      </c>
      <c r="H46" s="13">
        <f t="shared" si="5"/>
        <v>1510</v>
      </c>
      <c r="I46" s="42" t="s">
        <v>151</v>
      </c>
      <c r="J46" s="43" t="s">
        <v>152</v>
      </c>
      <c r="K46" s="42">
        <v>1510</v>
      </c>
      <c r="L46" s="42" t="s">
        <v>153</v>
      </c>
      <c r="M46" s="43" t="s">
        <v>61</v>
      </c>
      <c r="N46" s="43"/>
      <c r="O46" s="44" t="s">
        <v>137</v>
      </c>
      <c r="P46" s="44" t="s">
        <v>138</v>
      </c>
    </row>
    <row r="47" spans="1:16" ht="12.75" customHeight="1" thickBot="1" x14ac:dyDescent="0.25">
      <c r="A47" s="13" t="str">
        <f t="shared" si="0"/>
        <v> MSAI 29.489 </v>
      </c>
      <c r="B47" s="3" t="str">
        <f t="shared" si="1"/>
        <v>I</v>
      </c>
      <c r="C47" s="13">
        <f t="shared" si="2"/>
        <v>35691.408000000003</v>
      </c>
      <c r="D47" s="12" t="str">
        <f t="shared" si="3"/>
        <v>vis</v>
      </c>
      <c r="E47" s="41">
        <f>VLOOKUP(C47,Active!C$21:E$973,3,FALSE)</f>
        <v>1569.0267359241891</v>
      </c>
      <c r="F47" s="3" t="s">
        <v>55</v>
      </c>
      <c r="G47" s="12" t="str">
        <f t="shared" si="4"/>
        <v>35691.408</v>
      </c>
      <c r="H47" s="13">
        <f t="shared" si="5"/>
        <v>1569</v>
      </c>
      <c r="I47" s="42" t="s">
        <v>154</v>
      </c>
      <c r="J47" s="43" t="s">
        <v>155</v>
      </c>
      <c r="K47" s="42">
        <v>1569</v>
      </c>
      <c r="L47" s="42" t="s">
        <v>156</v>
      </c>
      <c r="M47" s="43" t="s">
        <v>61</v>
      </c>
      <c r="N47" s="43"/>
      <c r="O47" s="44" t="s">
        <v>137</v>
      </c>
      <c r="P47" s="44" t="s">
        <v>138</v>
      </c>
    </row>
    <row r="48" spans="1:16" ht="12.75" customHeight="1" thickBot="1" x14ac:dyDescent="0.25">
      <c r="A48" s="13" t="str">
        <f t="shared" si="0"/>
        <v> MSAI 29.489 </v>
      </c>
      <c r="B48" s="3" t="str">
        <f t="shared" si="1"/>
        <v>I</v>
      </c>
      <c r="C48" s="13">
        <f t="shared" si="2"/>
        <v>35722.356</v>
      </c>
      <c r="D48" s="12" t="str">
        <f t="shared" si="3"/>
        <v>vis</v>
      </c>
      <c r="E48" s="41">
        <f>VLOOKUP(C48,Active!C$21:E$973,3,FALSE)</f>
        <v>1576.0005606461129</v>
      </c>
      <c r="F48" s="3" t="s">
        <v>55</v>
      </c>
      <c r="G48" s="12" t="str">
        <f t="shared" si="4"/>
        <v>35722.356</v>
      </c>
      <c r="H48" s="13">
        <f t="shared" si="5"/>
        <v>1576</v>
      </c>
      <c r="I48" s="42" t="s">
        <v>157</v>
      </c>
      <c r="J48" s="43" t="s">
        <v>158</v>
      </c>
      <c r="K48" s="42">
        <v>1576</v>
      </c>
      <c r="L48" s="42" t="s">
        <v>159</v>
      </c>
      <c r="M48" s="43" t="s">
        <v>61</v>
      </c>
      <c r="N48" s="43"/>
      <c r="O48" s="44" t="s">
        <v>137</v>
      </c>
      <c r="P48" s="44" t="s">
        <v>138</v>
      </c>
    </row>
    <row r="49" spans="1:16" ht="12.75" customHeight="1" thickBot="1" x14ac:dyDescent="0.25">
      <c r="A49" s="13" t="str">
        <f t="shared" si="0"/>
        <v>BAVM 193 </v>
      </c>
      <c r="B49" s="3" t="str">
        <f t="shared" si="1"/>
        <v>I</v>
      </c>
      <c r="C49" s="13">
        <f t="shared" si="2"/>
        <v>54374.447500000002</v>
      </c>
      <c r="D49" s="12" t="str">
        <f t="shared" si="3"/>
        <v>vis</v>
      </c>
      <c r="E49" s="41">
        <f>VLOOKUP(C49,Active!C$21:E$973,3,FALSE)</f>
        <v>5779.0643068753288</v>
      </c>
      <c r="F49" s="3" t="s">
        <v>55</v>
      </c>
      <c r="G49" s="12" t="str">
        <f t="shared" si="4"/>
        <v>54374.4475</v>
      </c>
      <c r="H49" s="13">
        <f t="shared" si="5"/>
        <v>5779</v>
      </c>
      <c r="I49" s="42" t="s">
        <v>188</v>
      </c>
      <c r="J49" s="43" t="s">
        <v>189</v>
      </c>
      <c r="K49" s="42">
        <v>5779</v>
      </c>
      <c r="L49" s="42" t="s">
        <v>190</v>
      </c>
      <c r="M49" s="43" t="s">
        <v>181</v>
      </c>
      <c r="N49" s="43" t="s">
        <v>191</v>
      </c>
      <c r="O49" s="44" t="s">
        <v>192</v>
      </c>
      <c r="P49" s="45" t="s">
        <v>193</v>
      </c>
    </row>
    <row r="50" spans="1:16" ht="12.75" customHeight="1" thickBot="1" x14ac:dyDescent="0.25">
      <c r="A50" s="13" t="str">
        <f t="shared" si="0"/>
        <v>BAVM 212 </v>
      </c>
      <c r="B50" s="3" t="str">
        <f t="shared" si="1"/>
        <v>I</v>
      </c>
      <c r="C50" s="13">
        <f t="shared" si="2"/>
        <v>55155.475899999998</v>
      </c>
      <c r="D50" s="12" t="str">
        <f t="shared" si="3"/>
        <v>vis</v>
      </c>
      <c r="E50" s="41">
        <f>VLOOKUP(C50,Active!C$21:E$973,3,FALSE)</f>
        <v>5955.0613071482148</v>
      </c>
      <c r="F50" s="3" t="s">
        <v>55</v>
      </c>
      <c r="G50" s="12" t="str">
        <f t="shared" si="4"/>
        <v>55155.4759</v>
      </c>
      <c r="H50" s="13">
        <f t="shared" si="5"/>
        <v>5955</v>
      </c>
      <c r="I50" s="42" t="s">
        <v>194</v>
      </c>
      <c r="J50" s="43" t="s">
        <v>195</v>
      </c>
      <c r="K50" s="42" t="s">
        <v>196</v>
      </c>
      <c r="L50" s="42" t="s">
        <v>197</v>
      </c>
      <c r="M50" s="43" t="s">
        <v>181</v>
      </c>
      <c r="N50" s="43" t="s">
        <v>191</v>
      </c>
      <c r="O50" s="44" t="s">
        <v>192</v>
      </c>
      <c r="P50" s="45" t="s">
        <v>198</v>
      </c>
    </row>
    <row r="51" spans="1:16" ht="12.75" customHeight="1" thickBot="1" x14ac:dyDescent="0.25">
      <c r="A51" s="13" t="str">
        <f t="shared" si="0"/>
        <v>BAVM 225 </v>
      </c>
      <c r="B51" s="3" t="str">
        <f t="shared" si="1"/>
        <v>I</v>
      </c>
      <c r="C51" s="13">
        <f t="shared" si="2"/>
        <v>55856.626400000001</v>
      </c>
      <c r="D51" s="12" t="str">
        <f t="shared" si="3"/>
        <v>vis</v>
      </c>
      <c r="E51" s="41">
        <f>VLOOKUP(C51,Active!C$21:E$973,3,FALSE)</f>
        <v>6113.0586152356482</v>
      </c>
      <c r="F51" s="3" t="s">
        <v>55</v>
      </c>
      <c r="G51" s="12" t="str">
        <f t="shared" si="4"/>
        <v>55856.6264</v>
      </c>
      <c r="H51" s="13">
        <f t="shared" si="5"/>
        <v>6113</v>
      </c>
      <c r="I51" s="42" t="s">
        <v>199</v>
      </c>
      <c r="J51" s="43" t="s">
        <v>200</v>
      </c>
      <c r="K51" s="42" t="s">
        <v>201</v>
      </c>
      <c r="L51" s="42" t="s">
        <v>202</v>
      </c>
      <c r="M51" s="43" t="s">
        <v>181</v>
      </c>
      <c r="N51" s="43" t="s">
        <v>191</v>
      </c>
      <c r="O51" s="44" t="s">
        <v>192</v>
      </c>
      <c r="P51" s="45" t="s">
        <v>203</v>
      </c>
    </row>
    <row r="52" spans="1:16" ht="12.75" customHeight="1" thickBot="1" x14ac:dyDescent="0.25">
      <c r="A52" s="13" t="str">
        <f t="shared" si="0"/>
        <v>BAVM 225 </v>
      </c>
      <c r="B52" s="3" t="str">
        <f t="shared" si="1"/>
        <v>I</v>
      </c>
      <c r="C52" s="13">
        <f t="shared" si="2"/>
        <v>55874.373</v>
      </c>
      <c r="D52" s="12" t="str">
        <f t="shared" si="3"/>
        <v>vis</v>
      </c>
      <c r="E52" s="41">
        <f>VLOOKUP(C52,Active!C$21:E$973,3,FALSE)</f>
        <v>6117.0576354569903</v>
      </c>
      <c r="F52" s="3" t="s">
        <v>55</v>
      </c>
      <c r="G52" s="12" t="str">
        <f t="shared" si="4"/>
        <v>55874.3730</v>
      </c>
      <c r="H52" s="13">
        <f t="shared" si="5"/>
        <v>6117</v>
      </c>
      <c r="I52" s="42" t="s">
        <v>204</v>
      </c>
      <c r="J52" s="43" t="s">
        <v>205</v>
      </c>
      <c r="K52" s="42" t="s">
        <v>206</v>
      </c>
      <c r="L52" s="42" t="s">
        <v>207</v>
      </c>
      <c r="M52" s="43" t="s">
        <v>181</v>
      </c>
      <c r="N52" s="43" t="s">
        <v>191</v>
      </c>
      <c r="O52" s="44" t="s">
        <v>192</v>
      </c>
      <c r="P52" s="45" t="s">
        <v>203</v>
      </c>
    </row>
    <row r="53" spans="1:16" x14ac:dyDescent="0.2">
      <c r="B53" s="3"/>
      <c r="E53" s="41"/>
      <c r="F53" s="3"/>
    </row>
    <row r="54" spans="1:16" x14ac:dyDescent="0.2">
      <c r="B54" s="3"/>
      <c r="E54" s="41"/>
      <c r="F54" s="3"/>
    </row>
    <row r="55" spans="1:16" x14ac:dyDescent="0.2">
      <c r="B55" s="3"/>
      <c r="E55" s="41"/>
      <c r="F55" s="3"/>
    </row>
    <row r="56" spans="1:16" x14ac:dyDescent="0.2">
      <c r="B56" s="3"/>
      <c r="E56" s="41"/>
      <c r="F56" s="3"/>
    </row>
    <row r="57" spans="1:16" x14ac:dyDescent="0.2">
      <c r="B57" s="3"/>
      <c r="E57" s="41"/>
      <c r="F57" s="3"/>
    </row>
    <row r="58" spans="1:16" x14ac:dyDescent="0.2">
      <c r="B58" s="3"/>
      <c r="E58" s="41"/>
      <c r="F58" s="3"/>
    </row>
    <row r="59" spans="1:16" x14ac:dyDescent="0.2">
      <c r="B59" s="3"/>
      <c r="E59" s="41"/>
      <c r="F59" s="3"/>
    </row>
    <row r="60" spans="1:16" x14ac:dyDescent="0.2">
      <c r="B60" s="3"/>
      <c r="E60" s="41"/>
      <c r="F60" s="3"/>
    </row>
    <row r="61" spans="1:16" x14ac:dyDescent="0.2">
      <c r="B61" s="3"/>
      <c r="E61" s="41"/>
      <c r="F61" s="3"/>
    </row>
    <row r="62" spans="1:16" x14ac:dyDescent="0.2">
      <c r="B62" s="3"/>
      <c r="E62" s="41"/>
      <c r="F62" s="3"/>
    </row>
    <row r="63" spans="1:16" x14ac:dyDescent="0.2">
      <c r="B63" s="3"/>
      <c r="E63" s="41"/>
      <c r="F63" s="3"/>
    </row>
    <row r="64" spans="1:16" x14ac:dyDescent="0.2">
      <c r="B64" s="3"/>
      <c r="E64" s="41"/>
      <c r="F64" s="3"/>
    </row>
    <row r="65" spans="2:6" x14ac:dyDescent="0.2">
      <c r="B65" s="3"/>
      <c r="E65" s="41"/>
      <c r="F65" s="3"/>
    </row>
    <row r="66" spans="2:6" x14ac:dyDescent="0.2">
      <c r="B66" s="3"/>
      <c r="E66" s="41"/>
      <c r="F66" s="3"/>
    </row>
    <row r="67" spans="2:6" x14ac:dyDescent="0.2">
      <c r="B67" s="3"/>
      <c r="E67" s="41"/>
      <c r="F67" s="3"/>
    </row>
    <row r="68" spans="2:6" x14ac:dyDescent="0.2">
      <c r="B68" s="3"/>
      <c r="E68" s="41"/>
      <c r="F68" s="3"/>
    </row>
    <row r="69" spans="2:6" x14ac:dyDescent="0.2">
      <c r="B69" s="3"/>
      <c r="E69" s="41"/>
      <c r="F69" s="3"/>
    </row>
    <row r="70" spans="2:6" x14ac:dyDescent="0.2">
      <c r="B70" s="3"/>
      <c r="E70" s="41"/>
      <c r="F70" s="3"/>
    </row>
    <row r="71" spans="2:6" x14ac:dyDescent="0.2">
      <c r="B71" s="3"/>
      <c r="E71" s="41"/>
      <c r="F71" s="3"/>
    </row>
    <row r="72" spans="2:6" x14ac:dyDescent="0.2">
      <c r="B72" s="3"/>
      <c r="E72" s="41"/>
      <c r="F72" s="3"/>
    </row>
    <row r="73" spans="2:6" x14ac:dyDescent="0.2">
      <c r="B73" s="3"/>
      <c r="E73" s="41"/>
      <c r="F73" s="3"/>
    </row>
    <row r="74" spans="2:6" x14ac:dyDescent="0.2">
      <c r="B74" s="3"/>
      <c r="E74" s="41"/>
      <c r="F74" s="3"/>
    </row>
    <row r="75" spans="2:6" x14ac:dyDescent="0.2">
      <c r="B75" s="3"/>
      <c r="E75" s="41"/>
      <c r="F75" s="3"/>
    </row>
    <row r="76" spans="2:6" x14ac:dyDescent="0.2">
      <c r="B76" s="3"/>
      <c r="E76" s="41"/>
      <c r="F76" s="3"/>
    </row>
    <row r="77" spans="2:6" x14ac:dyDescent="0.2">
      <c r="B77" s="3"/>
      <c r="E77" s="41"/>
      <c r="F77" s="3"/>
    </row>
    <row r="78" spans="2:6" x14ac:dyDescent="0.2">
      <c r="B78" s="3"/>
      <c r="E78" s="41"/>
      <c r="F78" s="3"/>
    </row>
    <row r="79" spans="2:6" x14ac:dyDescent="0.2">
      <c r="B79" s="3"/>
      <c r="E79" s="41"/>
      <c r="F79" s="3"/>
    </row>
    <row r="80" spans="2:6" x14ac:dyDescent="0.2">
      <c r="B80" s="3"/>
      <c r="E80" s="41"/>
      <c r="F80" s="3"/>
    </row>
    <row r="81" spans="2:6" x14ac:dyDescent="0.2">
      <c r="B81" s="3"/>
      <c r="E81" s="41"/>
      <c r="F81" s="3"/>
    </row>
    <row r="82" spans="2:6" x14ac:dyDescent="0.2">
      <c r="B82" s="3"/>
      <c r="E82" s="41"/>
      <c r="F82" s="3"/>
    </row>
    <row r="83" spans="2:6" x14ac:dyDescent="0.2">
      <c r="B83" s="3"/>
      <c r="E83" s="41"/>
      <c r="F83" s="3"/>
    </row>
    <row r="84" spans="2:6" x14ac:dyDescent="0.2">
      <c r="B84" s="3"/>
      <c r="E84" s="41"/>
      <c r="F84" s="3"/>
    </row>
    <row r="85" spans="2:6" x14ac:dyDescent="0.2">
      <c r="B85" s="3"/>
      <c r="E85" s="41"/>
      <c r="F85" s="3"/>
    </row>
    <row r="86" spans="2:6" x14ac:dyDescent="0.2">
      <c r="B86" s="3"/>
      <c r="E86" s="41"/>
      <c r="F86" s="3"/>
    </row>
    <row r="87" spans="2:6" x14ac:dyDescent="0.2">
      <c r="B87" s="3"/>
      <c r="E87" s="41"/>
      <c r="F87" s="3"/>
    </row>
    <row r="88" spans="2:6" x14ac:dyDescent="0.2">
      <c r="B88" s="3"/>
      <c r="E88" s="41"/>
      <c r="F88" s="3"/>
    </row>
    <row r="89" spans="2:6" x14ac:dyDescent="0.2">
      <c r="B89" s="3"/>
      <c r="E89" s="41"/>
      <c r="F89" s="3"/>
    </row>
    <row r="90" spans="2:6" x14ac:dyDescent="0.2">
      <c r="B90" s="3"/>
      <c r="E90" s="41"/>
      <c r="F90" s="3"/>
    </row>
    <row r="91" spans="2:6" x14ac:dyDescent="0.2">
      <c r="B91" s="3"/>
      <c r="E91" s="41"/>
      <c r="F91" s="3"/>
    </row>
    <row r="92" spans="2:6" x14ac:dyDescent="0.2">
      <c r="B92" s="3"/>
      <c r="E92" s="41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</sheetData>
  <phoneticPr fontId="7" type="noConversion"/>
  <hyperlinks>
    <hyperlink ref="A3" r:id="rId1"/>
    <hyperlink ref="P17" r:id="rId2" display="http://www.bav-astro.de/sfs/BAVM_link.php?BAVMnr=117"/>
    <hyperlink ref="P18" r:id="rId3" display="http://www.bav-astro.de/sfs/BAVM_link.php?BAVMnr=117"/>
    <hyperlink ref="P19" r:id="rId4" display="http://www.bav-astro.de/sfs/BAVM_link.php?BAVMnr=172"/>
    <hyperlink ref="P20" r:id="rId5" display="http://www.bav-astro.de/sfs/BAVM_link.php?BAVMnr=178"/>
    <hyperlink ref="P21" r:id="rId6" display="http://www.bav-astro.de/sfs/BAVM_link.php?BAVMnr=186"/>
    <hyperlink ref="P49" r:id="rId7" display="http://www.bav-astro.de/sfs/BAVM_link.php?BAVMnr=193"/>
    <hyperlink ref="P50" r:id="rId8" display="http://www.bav-astro.de/sfs/BAVM_link.php?BAVMnr=212"/>
    <hyperlink ref="P51" r:id="rId9" display="http://www.bav-astro.de/sfs/BAVM_link.php?BAVMnr=225"/>
    <hyperlink ref="P52" r:id="rId10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2024-01-19T04:27:53Z</dcterms:modified>
</cp:coreProperties>
</file>