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58747CD-16F7-4CD1-9788-827375EA3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7" i="1" l="1"/>
  <c r="F87" i="1" s="1"/>
  <c r="G87" i="1" s="1"/>
  <c r="K87" i="1" s="1"/>
  <c r="Q87" i="1"/>
  <c r="E80" i="1"/>
  <c r="F80" i="1"/>
  <c r="Q86" i="1"/>
  <c r="E25" i="1"/>
  <c r="F25" i="1"/>
  <c r="E57" i="1"/>
  <c r="F57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9" i="1"/>
  <c r="Q82" i="1"/>
  <c r="G22" i="2"/>
  <c r="C22" i="2"/>
  <c r="G21" i="2"/>
  <c r="C21" i="2"/>
  <c r="G20" i="2"/>
  <c r="C20" i="2"/>
  <c r="G74" i="2"/>
  <c r="C74" i="2"/>
  <c r="G19" i="2"/>
  <c r="C19" i="2"/>
  <c r="G18" i="2"/>
  <c r="C18" i="2"/>
  <c r="G73" i="2"/>
  <c r="C73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E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H22" i="2"/>
  <c r="B22" i="2"/>
  <c r="D22" i="2"/>
  <c r="A22" i="2"/>
  <c r="H21" i="2"/>
  <c r="D21" i="2"/>
  <c r="B21" i="2"/>
  <c r="A21" i="2"/>
  <c r="H20" i="2"/>
  <c r="B20" i="2"/>
  <c r="D20" i="2"/>
  <c r="A20" i="2"/>
  <c r="H74" i="2"/>
  <c r="D74" i="2"/>
  <c r="B74" i="2"/>
  <c r="A74" i="2"/>
  <c r="H19" i="2"/>
  <c r="B19" i="2"/>
  <c r="D19" i="2"/>
  <c r="A19" i="2"/>
  <c r="H18" i="2"/>
  <c r="D18" i="2"/>
  <c r="B18" i="2"/>
  <c r="A18" i="2"/>
  <c r="H73" i="2"/>
  <c r="B73" i="2"/>
  <c r="D73" i="2"/>
  <c r="A73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Q85" i="1"/>
  <c r="Q84" i="1"/>
  <c r="Q83" i="1"/>
  <c r="F16" i="1"/>
  <c r="F17" i="1" s="1"/>
  <c r="C17" i="1"/>
  <c r="Q81" i="1"/>
  <c r="Q80" i="1"/>
  <c r="C7" i="1"/>
  <c r="C8" i="1"/>
  <c r="Q78" i="1"/>
  <c r="Q76" i="1"/>
  <c r="Q77" i="1"/>
  <c r="Q72" i="1"/>
  <c r="Q73" i="1"/>
  <c r="Q74" i="1"/>
  <c r="Q75" i="1"/>
  <c r="Q21" i="1"/>
  <c r="E67" i="2"/>
  <c r="E79" i="1"/>
  <c r="F79" i="1"/>
  <c r="E73" i="2"/>
  <c r="E65" i="1"/>
  <c r="F65" i="1"/>
  <c r="E33" i="1"/>
  <c r="G22" i="1"/>
  <c r="I22" i="1"/>
  <c r="E34" i="1"/>
  <c r="F34" i="1"/>
  <c r="E33" i="2"/>
  <c r="E38" i="2"/>
  <c r="E42" i="1"/>
  <c r="F42" i="1"/>
  <c r="G42" i="1"/>
  <c r="I42" i="1"/>
  <c r="E23" i="2"/>
  <c r="E66" i="1"/>
  <c r="F66" i="1"/>
  <c r="E18" i="2"/>
  <c r="G51" i="1"/>
  <c r="I51" i="1"/>
  <c r="E41" i="1"/>
  <c r="E52" i="2"/>
  <c r="E57" i="2"/>
  <c r="E50" i="1"/>
  <c r="E46" i="2"/>
  <c r="E86" i="1"/>
  <c r="F86" i="1"/>
  <c r="E75" i="1"/>
  <c r="F75" i="1"/>
  <c r="G77" i="1"/>
  <c r="J77" i="1"/>
  <c r="E83" i="1"/>
  <c r="F83" i="1"/>
  <c r="E29" i="1"/>
  <c r="F29" i="1"/>
  <c r="E37" i="1"/>
  <c r="F37" i="1"/>
  <c r="G37" i="1"/>
  <c r="I37" i="1"/>
  <c r="G39" i="1"/>
  <c r="I39" i="1"/>
  <c r="E45" i="1"/>
  <c r="F45" i="1"/>
  <c r="G47" i="1"/>
  <c r="I47" i="1"/>
  <c r="E53" i="1"/>
  <c r="F53" i="1"/>
  <c r="E61" i="1"/>
  <c r="F61" i="1"/>
  <c r="E69" i="1"/>
  <c r="F69" i="1"/>
  <c r="G69" i="1"/>
  <c r="I69" i="1"/>
  <c r="G71" i="1"/>
  <c r="I71" i="1"/>
  <c r="E78" i="1"/>
  <c r="F78" i="1"/>
  <c r="G78" i="1"/>
  <c r="J78" i="1"/>
  <c r="G80" i="1"/>
  <c r="K80" i="1"/>
  <c r="E24" i="1"/>
  <c r="F24" i="1"/>
  <c r="E32" i="1"/>
  <c r="F32" i="1"/>
  <c r="G34" i="1"/>
  <c r="I34" i="1"/>
  <c r="E40" i="1"/>
  <c r="F40" i="1"/>
  <c r="G40" i="1"/>
  <c r="I40" i="1"/>
  <c r="E48" i="1"/>
  <c r="F48" i="1"/>
  <c r="G48" i="1"/>
  <c r="I48" i="1"/>
  <c r="E56" i="1"/>
  <c r="F56" i="1"/>
  <c r="E64" i="1"/>
  <c r="F64" i="1"/>
  <c r="G66" i="1"/>
  <c r="I66" i="1"/>
  <c r="G86" i="1"/>
  <c r="K86" i="1"/>
  <c r="E73" i="1"/>
  <c r="G75" i="1"/>
  <c r="J75" i="1"/>
  <c r="E81" i="1"/>
  <c r="F81" i="1"/>
  <c r="G83" i="1"/>
  <c r="J83" i="1"/>
  <c r="E22" i="1"/>
  <c r="F22" i="1"/>
  <c r="E27" i="1"/>
  <c r="F27" i="1"/>
  <c r="G29" i="1"/>
  <c r="I29" i="1"/>
  <c r="E35" i="1"/>
  <c r="F35" i="1"/>
  <c r="G35" i="1"/>
  <c r="I35" i="1"/>
  <c r="E43" i="1"/>
  <c r="F43" i="1"/>
  <c r="G43" i="1"/>
  <c r="I43" i="1"/>
  <c r="G45" i="1"/>
  <c r="I45" i="1"/>
  <c r="E51" i="1"/>
  <c r="F51" i="1"/>
  <c r="G53" i="1"/>
  <c r="I53" i="1"/>
  <c r="E59" i="1"/>
  <c r="F59" i="1"/>
  <c r="G61" i="1"/>
  <c r="I61" i="1"/>
  <c r="E67" i="1"/>
  <c r="F67" i="1"/>
  <c r="G67" i="1"/>
  <c r="I67" i="1"/>
  <c r="E76" i="1"/>
  <c r="F76" i="1"/>
  <c r="G76" i="1"/>
  <c r="J76" i="1"/>
  <c r="E84" i="1"/>
  <c r="F84" i="1"/>
  <c r="G84" i="1"/>
  <c r="J84" i="1"/>
  <c r="G24" i="1"/>
  <c r="I24" i="1"/>
  <c r="E30" i="1"/>
  <c r="F30" i="1"/>
  <c r="G32" i="1"/>
  <c r="I32" i="1"/>
  <c r="E38" i="1"/>
  <c r="F38" i="1"/>
  <c r="G38" i="1"/>
  <c r="I38" i="1"/>
  <c r="E46" i="1"/>
  <c r="F46" i="1"/>
  <c r="G46" i="1"/>
  <c r="I46" i="1"/>
  <c r="E54" i="1"/>
  <c r="F54" i="1"/>
  <c r="G54" i="1"/>
  <c r="I54" i="1"/>
  <c r="G56" i="1"/>
  <c r="I56" i="1"/>
  <c r="E62" i="1"/>
  <c r="F62" i="1"/>
  <c r="G64" i="1"/>
  <c r="I64" i="1"/>
  <c r="E70" i="1"/>
  <c r="F70" i="1"/>
  <c r="G70" i="1"/>
  <c r="I70" i="1"/>
  <c r="E21" i="1"/>
  <c r="F21" i="1"/>
  <c r="E74" i="1"/>
  <c r="E82" i="1"/>
  <c r="F82" i="1"/>
  <c r="E28" i="1"/>
  <c r="F28" i="1"/>
  <c r="G28" i="1"/>
  <c r="I28" i="1"/>
  <c r="G30" i="1"/>
  <c r="I30" i="1"/>
  <c r="E36" i="1"/>
  <c r="F36" i="1"/>
  <c r="G36" i="1"/>
  <c r="I36" i="1"/>
  <c r="E44" i="1"/>
  <c r="F44" i="1"/>
  <c r="G44" i="1"/>
  <c r="I44" i="1"/>
  <c r="E52" i="1"/>
  <c r="F52" i="1"/>
  <c r="G52" i="1"/>
  <c r="I52" i="1"/>
  <c r="E60" i="1"/>
  <c r="F60" i="1"/>
  <c r="G60" i="1"/>
  <c r="I60" i="1"/>
  <c r="G62" i="1"/>
  <c r="I62" i="1"/>
  <c r="E68" i="1"/>
  <c r="F68" i="1"/>
  <c r="G68" i="1"/>
  <c r="I68" i="1"/>
  <c r="G21" i="1"/>
  <c r="H21" i="1"/>
  <c r="E77" i="1"/>
  <c r="F77" i="1"/>
  <c r="G79" i="1"/>
  <c r="K79" i="1"/>
  <c r="E23" i="1"/>
  <c r="F23" i="1"/>
  <c r="G23" i="1"/>
  <c r="I23" i="1"/>
  <c r="G25" i="1"/>
  <c r="I25" i="1"/>
  <c r="E31" i="1"/>
  <c r="F31" i="1"/>
  <c r="G31" i="1"/>
  <c r="I31" i="1"/>
  <c r="E39" i="1"/>
  <c r="F39" i="1"/>
  <c r="E47" i="1"/>
  <c r="F47" i="1"/>
  <c r="E55" i="1"/>
  <c r="F55" i="1"/>
  <c r="G55" i="1"/>
  <c r="I55" i="1"/>
  <c r="G57" i="1"/>
  <c r="I57" i="1"/>
  <c r="E63" i="1"/>
  <c r="F63" i="1"/>
  <c r="G63" i="1"/>
  <c r="I63" i="1"/>
  <c r="G65" i="1"/>
  <c r="I65" i="1"/>
  <c r="E71" i="1"/>
  <c r="F71" i="1"/>
  <c r="E26" i="2"/>
  <c r="E53" i="2"/>
  <c r="E63" i="2"/>
  <c r="E16" i="2"/>
  <c r="G59" i="1"/>
  <c r="I59" i="1"/>
  <c r="E49" i="1"/>
  <c r="G27" i="1"/>
  <c r="I27" i="1"/>
  <c r="G82" i="1"/>
  <c r="K82" i="1"/>
  <c r="E72" i="1"/>
  <c r="F72" i="1"/>
  <c r="G72" i="1"/>
  <c r="E31" i="2"/>
  <c r="E49" i="2"/>
  <c r="E54" i="2"/>
  <c r="E11" i="2"/>
  <c r="E58" i="1"/>
  <c r="E26" i="1"/>
  <c r="G81" i="1"/>
  <c r="K81" i="1"/>
  <c r="E85" i="1"/>
  <c r="F85" i="1"/>
  <c r="G85" i="1"/>
  <c r="J85" i="1"/>
  <c r="J72" i="1"/>
  <c r="E37" i="2"/>
  <c r="F33" i="1"/>
  <c r="G33" i="1"/>
  <c r="I33" i="1"/>
  <c r="E34" i="2"/>
  <c r="E24" i="2"/>
  <c r="E64" i="2"/>
  <c r="E48" i="2"/>
  <c r="E28" i="2"/>
  <c r="F26" i="1"/>
  <c r="G26" i="1"/>
  <c r="I26" i="1"/>
  <c r="E27" i="2"/>
  <c r="E40" i="2"/>
  <c r="E39" i="2"/>
  <c r="E14" i="2"/>
  <c r="E22" i="2"/>
  <c r="E19" i="2"/>
  <c r="F50" i="1"/>
  <c r="G50" i="1"/>
  <c r="I50" i="1"/>
  <c r="E51" i="2"/>
  <c r="E30" i="2"/>
  <c r="E62" i="2"/>
  <c r="E71" i="2"/>
  <c r="E21" i="2"/>
  <c r="E70" i="2"/>
  <c r="E25" i="2"/>
  <c r="F41" i="1"/>
  <c r="G41" i="1"/>
  <c r="I41" i="1"/>
  <c r="E42" i="2"/>
  <c r="E44" i="2"/>
  <c r="F58" i="1"/>
  <c r="G58" i="1"/>
  <c r="I58" i="1"/>
  <c r="E59" i="2"/>
  <c r="E36" i="2"/>
  <c r="E29" i="2"/>
  <c r="E61" i="2"/>
  <c r="E55" i="2"/>
  <c r="E41" i="2"/>
  <c r="E66" i="2"/>
  <c r="F74" i="1"/>
  <c r="G74" i="1"/>
  <c r="J74" i="1"/>
  <c r="E13" i="2"/>
  <c r="E15" i="2"/>
  <c r="E17" i="2"/>
  <c r="E56" i="2"/>
  <c r="E32" i="2"/>
  <c r="E65" i="2"/>
  <c r="E69" i="2"/>
  <c r="E74" i="2"/>
  <c r="F49" i="1"/>
  <c r="G49" i="1"/>
  <c r="I49" i="1"/>
  <c r="E50" i="2"/>
  <c r="E68" i="2"/>
  <c r="F73" i="1"/>
  <c r="G73" i="1"/>
  <c r="E12" i="2"/>
  <c r="E72" i="2"/>
  <c r="E20" i="2"/>
  <c r="E47" i="2"/>
  <c r="E45" i="2"/>
  <c r="E60" i="2"/>
  <c r="E35" i="2"/>
  <c r="E43" i="2"/>
  <c r="J73" i="1"/>
  <c r="C12" i="1"/>
  <c r="C11" i="1"/>
  <c r="O87" i="1" l="1"/>
  <c r="O68" i="1"/>
  <c r="O26" i="1"/>
  <c r="O45" i="1"/>
  <c r="O59" i="1"/>
  <c r="O70" i="1"/>
  <c r="O25" i="1"/>
  <c r="O74" i="1"/>
  <c r="O72" i="1"/>
  <c r="O54" i="1"/>
  <c r="O23" i="1"/>
  <c r="O34" i="1"/>
  <c r="O53" i="1"/>
  <c r="O67" i="1"/>
  <c r="O24" i="1"/>
  <c r="O41" i="1"/>
  <c r="O32" i="1"/>
  <c r="O78" i="1"/>
  <c r="O86" i="1"/>
  <c r="O31" i="1"/>
  <c r="O42" i="1"/>
  <c r="O61" i="1"/>
  <c r="O22" i="1"/>
  <c r="O40" i="1"/>
  <c r="O57" i="1"/>
  <c r="O48" i="1"/>
  <c r="O33" i="1"/>
  <c r="O29" i="1"/>
  <c r="O28" i="1"/>
  <c r="O39" i="1"/>
  <c r="O50" i="1"/>
  <c r="O69" i="1"/>
  <c r="O30" i="1"/>
  <c r="O56" i="1"/>
  <c r="O82" i="1"/>
  <c r="O64" i="1"/>
  <c r="O80" i="1"/>
  <c r="O52" i="1"/>
  <c r="O85" i="1"/>
  <c r="O36" i="1"/>
  <c r="O47" i="1"/>
  <c r="O58" i="1"/>
  <c r="O27" i="1"/>
  <c r="O38" i="1"/>
  <c r="O79" i="1"/>
  <c r="O84" i="1"/>
  <c r="O81" i="1"/>
  <c r="C15" i="1"/>
  <c r="O73" i="1"/>
  <c r="O44" i="1"/>
  <c r="O55" i="1"/>
  <c r="O66" i="1"/>
  <c r="O35" i="1"/>
  <c r="O46" i="1"/>
  <c r="O83" i="1"/>
  <c r="O76" i="1"/>
  <c r="O75" i="1"/>
  <c r="O63" i="1"/>
  <c r="O60" i="1"/>
  <c r="O71" i="1"/>
  <c r="O37" i="1"/>
  <c r="O51" i="1"/>
  <c r="O62" i="1"/>
  <c r="O21" i="1"/>
  <c r="O77" i="1"/>
  <c r="O65" i="1"/>
  <c r="O43" i="1"/>
  <c r="O4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<sst xmlns="http://schemas.openxmlformats.org/spreadsheetml/2006/main" count="702" uniqueCount="284">
  <si>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</si>
  <si>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</si>
  <si>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</si>
  <si>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</si>
  <si>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</si>
  <si>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</si>
  <si>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</si>
  <si>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</si>
  <si>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</si>
  <si>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</si>
  <si>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</si>
  <si>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</si>
  <si>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</si>
  <si>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</si>
  <si>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</si>
  <si>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</si>
  <si>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</si>
  <si>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</si>
  <si>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</si>
  <si>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</si>
  <si>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</si>
  <si>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</si>
  <si>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</si>
  <si>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</si>
  <si>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</si>
  <si>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</si>
  <si>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5484</t>
  </si>
  <si>
    <t>IBVS 5296</t>
  </si>
  <si>
    <t>IBVS 5643</t>
  </si>
  <si>
    <t>EA/SD</t>
  </si>
  <si>
    <t># of data points:</t>
  </si>
  <si>
    <t>IL Cas / GSC 04031-02917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</si>
  <si>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</si>
  <si>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</si>
  <si>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</si>
  <si>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</si>
  <si>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</si>
  <si>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</si>
  <si>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</si>
  <si>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</si>
  <si>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IBVS 5871</t>
  </si>
  <si>
    <t>IBVS 5920</t>
  </si>
  <si>
    <t>Add cycle</t>
  </si>
  <si>
    <t>Old Cycle</t>
  </si>
  <si>
    <t>IBVS 6070</t>
  </si>
  <si>
    <t>IBVS 6118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</si>
  <si>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</si>
  <si>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</si>
  <si>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</si>
  <si>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</si>
  <si>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</si>
  <si>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</si>
  <si>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</si>
  <si>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</si>
  <si>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</si>
  <si>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</si>
  <si>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</si>
  <si>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</si>
  <si>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2428008.43 </t>
  </si>
  <si>
    <t> 24.07.1935 22:19 </t>
  </si>
  <si>
    <t> 0.22 </t>
  </si>
  <si>
    <t>P </t>
  </si>
  <si>
    <t> C.Hoffmeister </t>
  </si>
  <si>
    <t> VSS 1.64 </t>
  </si>
  <si>
    <t>2428246.48 </t>
  </si>
  <si>
    <t> 18.03.1936 23:31 </t>
  </si>
  <si>
    <t> 0.09 </t>
  </si>
  <si>
    <t>2428308.42 </t>
  </si>
  <si>
    <t> 19.05.1936 22:04 </t>
  </si>
  <si>
    <t> -0.10 </t>
  </si>
  <si>
    <t>2428453.26 </t>
  </si>
  <si>
    <t> 11.10.1936 18:14 </t>
  </si>
  <si>
    <t> -0.23 </t>
  </si>
  <si>
    <t>2428546.66 </t>
  </si>
  <si>
    <t> 13.01.1937 03:50 </t>
  </si>
  <si>
    <t> -0.03 </t>
  </si>
  <si>
    <t>2428629.50 </t>
  </si>
  <si>
    <t> 06.04.1937 00:00 </t>
  </si>
  <si>
    <t>2428636.46 </t>
  </si>
  <si>
    <t> 12.04.1937 23:02 </t>
  </si>
  <si>
    <t> 0.03 </t>
  </si>
  <si>
    <t>2428819.53 </t>
  </si>
  <si>
    <t> 13.10.1937 00:43 </t>
  </si>
  <si>
    <t> 0.15 </t>
  </si>
  <si>
    <t>2429216.37 </t>
  </si>
  <si>
    <t> 13.11.1938 20:52 </t>
  </si>
  <si>
    <t> 0.04 </t>
  </si>
  <si>
    <t>2429516.58 </t>
  </si>
  <si>
    <t> 10.09.1939 01:55 </t>
  </si>
  <si>
    <t> -0.05 </t>
  </si>
  <si>
    <t>2429965.49 </t>
  </si>
  <si>
    <t> 01.12.1940 23:45 </t>
  </si>
  <si>
    <t> 0.13 </t>
  </si>
  <si>
    <t>2430369.25 </t>
  </si>
  <si>
    <t> 09.01.1942 18:00 </t>
  </si>
  <si>
    <t>2430400.28 </t>
  </si>
  <si>
    <t> 09.02.1942 18:43 </t>
  </si>
  <si>
    <t> 0.00 </t>
  </si>
  <si>
    <t>2430462.39 </t>
  </si>
  <si>
    <t> 12.04.1942 21:21 </t>
  </si>
  <si>
    <t> -0.02 </t>
  </si>
  <si>
    <t>2430624.61 </t>
  </si>
  <si>
    <t> 22.09.1942 02:38 </t>
  </si>
  <si>
    <t>2430645.46 </t>
  </si>
  <si>
    <t> 12.10.1942 23:02 </t>
  </si>
  <si>
    <t> 0.11 </t>
  </si>
  <si>
    <t>2430721.33 </t>
  </si>
  <si>
    <t> 27.12.1942 19:55 </t>
  </si>
  <si>
    <t>2431028.53 </t>
  </si>
  <si>
    <t> 31.10.1943 00:43 </t>
  </si>
  <si>
    <t>2431204.38 </t>
  </si>
  <si>
    <t> 23.04.1944 21:07 </t>
  </si>
  <si>
    <t> -0.15 </t>
  </si>
  <si>
    <t>2431739.518 </t>
  </si>
  <si>
    <t> 11.10.1945 00:25 </t>
  </si>
  <si>
    <t> -0.035 </t>
  </si>
  <si>
    <t> K.Häussler </t>
  </si>
  <si>
    <t> MHAR 11.5 </t>
  </si>
  <si>
    <t>2432944.270 </t>
  </si>
  <si>
    <t> 27.01.1949 18:28 </t>
  </si>
  <si>
    <t> 0.058 </t>
  </si>
  <si>
    <t>2434442.300 </t>
  </si>
  <si>
    <t> 05.03.1953 19:12 </t>
  </si>
  <si>
    <t> 0.030 </t>
  </si>
  <si>
    <t>2434718.424 </t>
  </si>
  <si>
    <t> 06.12.1953 22:10 </t>
  </si>
  <si>
    <t> 0.015 </t>
  </si>
  <si>
    <t>2435070.496 </t>
  </si>
  <si>
    <t> 23.11.1954 23:54 </t>
  </si>
  <si>
    <t> 0.008 </t>
  </si>
  <si>
    <t>2436903.438 </t>
  </si>
  <si>
    <t> 30.11.1959 22:30 </t>
  </si>
  <si>
    <t> 0.073 </t>
  </si>
  <si>
    <t>2437614.476 </t>
  </si>
  <si>
    <t> 10.11.1961 23:25 </t>
  </si>
  <si>
    <t> 0.052 </t>
  </si>
  <si>
    <t>2437935.497 </t>
  </si>
  <si>
    <t> 27.09.1962 23:55 </t>
  </si>
  <si>
    <t> 0.060 </t>
  </si>
  <si>
    <t>2438049.303 </t>
  </si>
  <si>
    <t> 19.01.1963 19:16 </t>
  </si>
  <si>
    <t> -0.041 </t>
  </si>
  <si>
    <t>2438287.511 </t>
  </si>
  <si>
    <t> 15.09.1963 00:15 </t>
  </si>
  <si>
    <t> -0.004 </t>
  </si>
  <si>
    <t>2438325.482 </t>
  </si>
  <si>
    <t> 22.10.1963 23:34 </t>
  </si>
  <si>
    <t> -0.002 </t>
  </si>
  <si>
    <t>2438584.506 </t>
  </si>
  <si>
    <t> 08.07.1964 00:08 </t>
  </si>
  <si>
    <t> 0.141 </t>
  </si>
  <si>
    <t>2438781.244 </t>
  </si>
  <si>
    <t> 20.01.1965 17:51 </t>
  </si>
  <si>
    <t> 0.129 </t>
  </si>
  <si>
    <t>2438998.540 </t>
  </si>
  <si>
    <t> 26.08.1965 00:57 </t>
  </si>
  <si>
    <t>2439029.566 </t>
  </si>
  <si>
    <t> 26.09.1965 01:35 </t>
  </si>
  <si>
    <t> -0.074 </t>
  </si>
  <si>
    <t>2439057.346 </t>
  </si>
  <si>
    <t> 23.10.1965 20:18 </t>
  </si>
  <si>
    <t> 0.092 </t>
  </si>
  <si>
    <t>2439088.256 </t>
  </si>
  <si>
    <t> 23.11.1965 18:08 </t>
  </si>
  <si>
    <t> -0.064 </t>
  </si>
  <si>
    <t>2439233.355 </t>
  </si>
  <si>
    <t> 17.04.1966 20:31 </t>
  </si>
  <si>
    <t> 0.062 </t>
  </si>
  <si>
    <t>2440151.376 </t>
  </si>
  <si>
    <t> 21.10.1968 21:01 </t>
  </si>
  <si>
    <t> -0.082 </t>
  </si>
  <si>
    <t>2440824.463 </t>
  </si>
  <si>
    <t> 25.08.1970 23:06 </t>
  </si>
  <si>
    <t> -0.085 </t>
  </si>
  <si>
    <t>2440831.528 </t>
  </si>
  <si>
    <t> 02.09.1970 00:40 </t>
  </si>
  <si>
    <t> 0.076 </t>
  </si>
  <si>
    <t>2440862.347 </t>
  </si>
  <si>
    <t> 02.10.1970 20:19 </t>
  </si>
  <si>
    <t> -0.170 </t>
  </si>
  <si>
    <t>2441183.410 </t>
  </si>
  <si>
    <t> 19.08.1971 21:50 </t>
  </si>
  <si>
    <t> -0.120 </t>
  </si>
  <si>
    <t>2441197.330 </t>
  </si>
  <si>
    <t> 02.09.1971 19:55 </t>
  </si>
  <si>
    <t> -0.007 </t>
  </si>
  <si>
    <t>2441252.390 </t>
  </si>
  <si>
    <t> 27.10.1971 21:21 </t>
  </si>
  <si>
    <t> -0.175 </t>
  </si>
  <si>
    <t>2441266.389 </t>
  </si>
  <si>
    <t> 10.11.1971 21:20 </t>
  </si>
  <si>
    <t> 0.017 </t>
  </si>
  <si>
    <t>2441335.341 </t>
  </si>
  <si>
    <t> 18.01.1972 20:11 </t>
  </si>
  <si>
    <t> -0.066 </t>
  </si>
  <si>
    <t>2441573.512 </t>
  </si>
  <si>
    <t> 13.09.1972 00:17 </t>
  </si>
  <si>
    <t> -0.065 </t>
  </si>
  <si>
    <t>2441932.574 </t>
  </si>
  <si>
    <t> 07.09.1973 01:46 </t>
  </si>
  <si>
    <t>2443482.359 </t>
  </si>
  <si>
    <t> 04.12.1977 20:36 </t>
  </si>
  <si>
    <t> -0.034 </t>
  </si>
  <si>
    <t>V </t>
  </si>
  <si>
    <t> M.Dietrich </t>
  </si>
  <si>
    <t> MVS 8.79 </t>
  </si>
  <si>
    <t>2443489.275 </t>
  </si>
  <si>
    <t> 11.12.1977 18:36 </t>
  </si>
  <si>
    <t> -0.021 </t>
  </si>
  <si>
    <t>2451925.3016 </t>
  </si>
  <si>
    <t> 15.01.2001 19:14 </t>
  </si>
  <si>
    <t> -0.0621 </t>
  </si>
  <si>
    <t>E </t>
  </si>
  <si>
    <t> W.Quester </t>
  </si>
  <si>
    <t>BAVM 152 </t>
  </si>
  <si>
    <t>2452194.5351 </t>
  </si>
  <si>
    <t> 12.10.2001 00:50 </t>
  </si>
  <si>
    <t> -0.0648 </t>
  </si>
  <si>
    <t>o</t>
  </si>
  <si>
    <t> H.Jungbluth </t>
  </si>
  <si>
    <t>2452484.4868 </t>
  </si>
  <si>
    <t> 28.07.2002 23:40 </t>
  </si>
  <si>
    <t> -0.0598 </t>
  </si>
  <si>
    <t> G.Monninger </t>
  </si>
  <si>
    <t>BAVM 158 </t>
  </si>
  <si>
    <t>2452567.3305 </t>
  </si>
  <si>
    <t> 19.10.2002 19:55 </t>
  </si>
  <si>
    <t> -0.0580 </t>
  </si>
  <si>
    <t>2452874.5225 </t>
  </si>
  <si>
    <t> 23.08.2003 00:32 </t>
  </si>
  <si>
    <t> -0.0714 </t>
  </si>
  <si>
    <t>BAVM 172 </t>
  </si>
  <si>
    <t>2452981.5300 </t>
  </si>
  <si>
    <t> 08.12.2003 00:43 </t>
  </si>
  <si>
    <t> -0.0680 </t>
  </si>
  <si>
    <t> U.Schmidt </t>
  </si>
  <si>
    <t>2454096.4450 </t>
  </si>
  <si>
    <t> 26.12.2006 22:40 </t>
  </si>
  <si>
    <t> -0.0670 </t>
  </si>
  <si>
    <t>C </t>
  </si>
  <si>
    <t>-I</t>
  </si>
  <si>
    <t> F.Agerer </t>
  </si>
  <si>
    <t>BAVM 183 </t>
  </si>
  <si>
    <t>2454776.4278 </t>
  </si>
  <si>
    <t> 05.11.2008 22:16 </t>
  </si>
  <si>
    <t>7755</t>
  </si>
  <si>
    <t> -0.0782 </t>
  </si>
  <si>
    <t>BAVM 203 </t>
  </si>
  <si>
    <t>2454800.5942 </t>
  </si>
  <si>
    <t> 30.11.2008 02:15 </t>
  </si>
  <si>
    <t>7762</t>
  </si>
  <si>
    <t> -0.0740 </t>
  </si>
  <si>
    <t> R.Diethelm </t>
  </si>
  <si>
    <t>IBVS 5871 </t>
  </si>
  <si>
    <t>2455100.8869 </t>
  </si>
  <si>
    <t> 26.09.2009 09:17 </t>
  </si>
  <si>
    <t>7849</t>
  </si>
  <si>
    <t> -0.0832 </t>
  </si>
  <si>
    <t>IBVS 5920 </t>
  </si>
  <si>
    <t>2455884.4362 </t>
  </si>
  <si>
    <t> 18.11.2011 22:28 </t>
  </si>
  <si>
    <t>8076</t>
  </si>
  <si>
    <t> -0.0803 </t>
  </si>
  <si>
    <t> P.Frank </t>
  </si>
  <si>
    <t>BAVM 225 </t>
  </si>
  <si>
    <t>2456167.4717 </t>
  </si>
  <si>
    <t> 27.08.2012 23:19 </t>
  </si>
  <si>
    <t>8158</t>
  </si>
  <si>
    <t> -0.0880 </t>
  </si>
  <si>
    <t>BAVM 231 </t>
  </si>
  <si>
    <t>2456526.4532 </t>
  </si>
  <si>
    <t> 21.08.2013 22:52 </t>
  </si>
  <si>
    <t>8262</t>
  </si>
  <si>
    <t> -0.0881 </t>
  </si>
  <si>
    <t>BAVM 234 </t>
  </si>
  <si>
    <t>2456916.4821 </t>
  </si>
  <si>
    <t> 15.09.2014 23:34 </t>
  </si>
  <si>
    <t>8375</t>
  </si>
  <si>
    <t> -0.1065 </t>
  </si>
  <si>
    <t>BAVM 239 </t>
  </si>
  <si>
    <t>s5</t>
  </si>
  <si>
    <t>s6</t>
  </si>
  <si>
    <t>s7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</si>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</sst>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Cas - O-C Diagr.</a:t>
            </a:r>
          </a:p>
        </c:rich>
      </c:tx>
      <c:layout>
        <c:manualLayout>
          <c:xMode val="edge"/>
          <c:yMode val="edge"/>
          <c:x val="0.3512401032515563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8595816716789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91-40BB-8D07-C946D6155C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1">
                  <c:v>0.21500000000014552</c:v>
                </c:pt>
                <c:pt idx="2">
                  <c:v>9.4519099999160971E-2</c:v>
                </c:pt>
                <c:pt idx="3">
                  <c:v>-9.6910700001899386E-2</c:v>
                </c:pt>
                <c:pt idx="4">
                  <c:v>-0.23024690000238479</c:v>
                </c:pt>
                <c:pt idx="5">
                  <c:v>-2.7391600000555627E-2</c:v>
                </c:pt>
                <c:pt idx="6">
                  <c:v>-2.9298000001290347E-2</c:v>
                </c:pt>
                <c:pt idx="7">
                  <c:v>2.7209799998672679E-2</c:v>
                </c:pt>
                <c:pt idx="8">
                  <c:v>0.15466649999871152</c:v>
                </c:pt>
                <c:pt idx="9">
                  <c:v>4.3864999999641441E-2</c:v>
                </c:pt>
                <c:pt idx="10">
                  <c:v>-4.8045699997601332E-2</c:v>
                </c:pt>
                <c:pt idx="11">
                  <c:v>0.13496130000203266</c:v>
                </c:pt>
                <c:pt idx="12">
                  <c:v>4.0667599998414516E-2</c:v>
                </c:pt>
                <c:pt idx="13">
                  <c:v>4.9526999973750208E-3</c:v>
                </c:pt>
                <c:pt idx="14">
                  <c:v>-1.6477100001793588E-2</c:v>
                </c:pt>
                <c:pt idx="15">
                  <c:v>-2.8543799999170005E-2</c:v>
                </c:pt>
                <c:pt idx="16">
                  <c:v>0.11097959999824525</c:v>
                </c:pt>
                <c:pt idx="17">
                  <c:v>4.2565400002786191E-2</c:v>
                </c:pt>
                <c:pt idx="18">
                  <c:v>3.7162499997066334E-2</c:v>
                </c:pt>
                <c:pt idx="19">
                  <c:v>-0.15188859999761917</c:v>
                </c:pt>
                <c:pt idx="20">
                  <c:v>-3.4534099999291357E-2</c:v>
                </c:pt>
                <c:pt idx="21">
                  <c:v>5.8076999994227663E-2</c:v>
                </c:pt>
                <c:pt idx="22">
                  <c:v>3.0269599999883212E-2</c:v>
                </c:pt>
                <c:pt idx="23">
                  <c:v>1.4581600000383332E-2</c:v>
                </c:pt>
                <c:pt idx="24">
                  <c:v>8.4793999994872138E-3</c:v>
                </c:pt>
                <c:pt idx="25">
                  <c:v>7.3300299998663832E-2</c:v>
                </c:pt>
                <c:pt idx="26">
                  <c:v>5.1603700005216524E-2</c:v>
                </c:pt>
                <c:pt idx="27">
                  <c:v>6.0216400001081638E-2</c:v>
                </c:pt>
                <c:pt idx="28">
                  <c:v>-4.14048999955412E-2</c:v>
                </c:pt>
                <c:pt idx="29">
                  <c:v>-3.8858000043546781E-3</c:v>
                </c:pt>
                <c:pt idx="30">
                  <c:v>-2.0928999947500415E-3</c:v>
                </c:pt>
                <c:pt idx="31">
                  <c:v>0.14094960000511492</c:v>
                </c:pt>
                <c:pt idx="32">
                  <c:v>0.12942189999739639</c:v>
                </c:pt>
                <c:pt idx="33">
                  <c:v>-3.4582399995997548E-2</c:v>
                </c:pt>
                <c:pt idx="34">
                  <c:v>-7.429730000148993E-2</c:v>
                </c:pt>
                <c:pt idx="35">
                  <c:v>9.1733900000690483E-2</c:v>
                </c:pt>
                <c:pt idx="36">
                  <c:v>-6.3980999999330379E-2</c:v>
                </c:pt>
                <c:pt idx="37">
                  <c:v>6.1682800005655736E-2</c:v>
                </c:pt>
                <c:pt idx="38">
                  <c:v>-8.1779799998912495E-2</c:v>
                </c:pt>
                <c:pt idx="39">
                  <c:v>-8.5269299997889902E-2</c:v>
                </c:pt>
                <c:pt idx="40">
                  <c:v>7.6238499997998588E-2</c:v>
                </c:pt>
                <c:pt idx="41">
                  <c:v>-0.17047639999509556</c:v>
                </c:pt>
                <c:pt idx="42">
                  <c:v>-0.11986369999794988</c:v>
                </c:pt>
                <c:pt idx="43">
                  <c:v>-6.8480999980238266E-3</c:v>
                </c:pt>
                <c:pt idx="44">
                  <c:v>-0.17478570000093896</c:v>
                </c:pt>
                <c:pt idx="45">
                  <c:v>1.7229900004167575E-2</c:v>
                </c:pt>
                <c:pt idx="46">
                  <c:v>-6.5692099997249898E-2</c:v>
                </c:pt>
                <c:pt idx="47">
                  <c:v>-6.5172999995411374E-2</c:v>
                </c:pt>
                <c:pt idx="48">
                  <c:v>1.5232600002491381E-2</c:v>
                </c:pt>
                <c:pt idx="49">
                  <c:v>-3.3766300002753269E-2</c:v>
                </c:pt>
                <c:pt idx="50">
                  <c:v>-2.1258499997202307E-2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91-40BB-8D07-C946D6155C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51">
                  <c:v>-6.2126900003931951E-2</c:v>
                </c:pt>
                <c:pt idx="52">
                  <c:v>-6.4822699998330791E-2</c:v>
                </c:pt>
                <c:pt idx="53">
                  <c:v>-5.9795100001792889E-2</c:v>
                </c:pt>
                <c:pt idx="54">
                  <c:v>-5.8001500001410022E-2</c:v>
                </c:pt>
                <c:pt idx="55">
                  <c:v>-7.1404399997845758E-2</c:v>
                </c:pt>
                <c:pt idx="56">
                  <c:v>-6.8033499999728519E-2</c:v>
                </c:pt>
                <c:pt idx="57">
                  <c:v>-6.7023799994785804E-2</c:v>
                </c:pt>
                <c:pt idx="62">
                  <c:v>-8.7983799996436574E-2</c:v>
                </c:pt>
                <c:pt idx="63">
                  <c:v>-8.8078199994924944E-2</c:v>
                </c:pt>
                <c:pt idx="64">
                  <c:v>-0.10648749999381835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91-40BB-8D07-C946D6155C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58">
                  <c:v>-7.8205500001786277E-2</c:v>
                </c:pt>
                <c:pt idx="59">
                  <c:v>-7.4028199996973854E-2</c:v>
                </c:pt>
                <c:pt idx="60">
                  <c:v>-8.3238899998832494E-2</c:v>
                </c:pt>
                <c:pt idx="61">
                  <c:v>-8.0303599999751896E-2</c:v>
                </c:pt>
                <c:pt idx="65">
                  <c:v>-9.3281899993598927E-2</c:v>
                </c:pt>
                <c:pt idx="66">
                  <c:v>-9.9463200000172947E-2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91-40BB-8D07-C946D6155C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91-40BB-8D07-C946D6155C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91-40BB-8D07-C946D6155C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91-40BB-8D07-C946D6155C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8.6725066956471086E-2</c:v>
                </c:pt>
                <c:pt idx="1">
                  <c:v>8.6725066956471086E-2</c:v>
                </c:pt>
                <c:pt idx="2">
                  <c:v>8.5261276558880134E-2</c:v>
                </c:pt>
                <c:pt idx="3">
                  <c:v>8.4879418194291179E-2</c:v>
                </c:pt>
                <c:pt idx="4">
                  <c:v>8.3988415343583644E-2</c:v>
                </c:pt>
                <c:pt idx="5">
                  <c:v>8.3415627796700226E-2</c:v>
                </c:pt>
                <c:pt idx="6">
                  <c:v>8.2906483310581619E-2</c:v>
                </c:pt>
                <c:pt idx="7">
                  <c:v>8.2864054603405082E-2</c:v>
                </c:pt>
                <c:pt idx="8">
                  <c:v>8.173969386322652E-2</c:v>
                </c:pt>
                <c:pt idx="9">
                  <c:v>7.9300043200574918E-2</c:v>
                </c:pt>
                <c:pt idx="10">
                  <c:v>7.7454394438395011E-2</c:v>
                </c:pt>
                <c:pt idx="11">
                  <c:v>7.4696528471919293E-2</c:v>
                </c:pt>
                <c:pt idx="12">
                  <c:v>7.2214449102091141E-2</c:v>
                </c:pt>
                <c:pt idx="13">
                  <c:v>7.2023519919796664E-2</c:v>
                </c:pt>
                <c:pt idx="14">
                  <c:v>7.1641661555207722E-2</c:v>
                </c:pt>
                <c:pt idx="15">
                  <c:v>7.0644586936558812E-2</c:v>
                </c:pt>
                <c:pt idx="16">
                  <c:v>7.051730081502916E-2</c:v>
                </c:pt>
                <c:pt idx="17">
                  <c:v>7.0050585036087104E-2</c:v>
                </c:pt>
                <c:pt idx="18">
                  <c:v>6.8162507566730646E-2</c:v>
                </c:pt>
                <c:pt idx="19">
                  <c:v>6.7080575533728648E-2</c:v>
                </c:pt>
                <c:pt idx="20">
                  <c:v>6.3792350727546049E-2</c:v>
                </c:pt>
                <c:pt idx="21">
                  <c:v>5.6388541325238156E-2</c:v>
                </c:pt>
                <c:pt idx="22">
                  <c:v>4.7181511867926899E-2</c:v>
                </c:pt>
                <c:pt idx="23">
                  <c:v>4.5484363580864912E-2</c:v>
                </c:pt>
                <c:pt idx="24">
                  <c:v>4.3320499514860888E-2</c:v>
                </c:pt>
                <c:pt idx="25">
                  <c:v>3.2055677759486978E-2</c:v>
                </c:pt>
                <c:pt idx="26">
                  <c:v>2.7685520920302374E-2</c:v>
                </c:pt>
                <c:pt idx="27">
                  <c:v>2.5712586036592822E-2</c:v>
                </c:pt>
                <c:pt idx="28">
                  <c:v>2.5012512368179751E-2</c:v>
                </c:pt>
                <c:pt idx="29">
                  <c:v>2.3548721970588798E-2</c:v>
                </c:pt>
                <c:pt idx="30">
                  <c:v>2.331536408111777E-2</c:v>
                </c:pt>
                <c:pt idx="31">
                  <c:v>2.1724287561997166E-2</c:v>
                </c:pt>
                <c:pt idx="32">
                  <c:v>2.0515069407465503E-2</c:v>
                </c:pt>
                <c:pt idx="33">
                  <c:v>1.9178565131404188E-2</c:v>
                </c:pt>
                <c:pt idx="34">
                  <c:v>1.898763594910971E-2</c:v>
                </c:pt>
                <c:pt idx="35">
                  <c:v>1.8817921120403522E-2</c:v>
                </c:pt>
                <c:pt idx="36">
                  <c:v>1.8626991938109044E-2</c:v>
                </c:pt>
                <c:pt idx="37">
                  <c:v>1.773598908740151E-2</c:v>
                </c:pt>
                <c:pt idx="38">
                  <c:v>1.209297103292041E-2</c:v>
                </c:pt>
                <c:pt idx="39">
                  <c:v>7.9561720832068278E-3</c:v>
                </c:pt>
                <c:pt idx="40">
                  <c:v>7.9137433760302772E-3</c:v>
                </c:pt>
                <c:pt idx="41">
                  <c:v>7.7228141937358136E-3</c:v>
                </c:pt>
                <c:pt idx="42">
                  <c:v>5.7498793100262541E-3</c:v>
                </c:pt>
                <c:pt idx="43">
                  <c:v>5.665021895673153E-3</c:v>
                </c:pt>
                <c:pt idx="44">
                  <c:v>5.3255922382607623E-3</c:v>
                </c:pt>
                <c:pt idx="45">
                  <c:v>5.2407348239076612E-3</c:v>
                </c:pt>
                <c:pt idx="46">
                  <c:v>4.8164477521421695E-3</c:v>
                </c:pt>
                <c:pt idx="47">
                  <c:v>3.3526573545512028E-3</c:v>
                </c:pt>
                <c:pt idx="48">
                  <c:v>1.1463645813706291E-3</c:v>
                </c:pt>
                <c:pt idx="49">
                  <c:v>-8.37888017976475E-3</c:v>
                </c:pt>
                <c:pt idx="50">
                  <c:v>-8.4213088869413005E-3</c:v>
                </c:pt>
                <c:pt idx="51">
                  <c:v>-6.0269189056684852E-2</c:v>
                </c:pt>
                <c:pt idx="52">
                  <c:v>-6.1923908636570296E-2</c:v>
                </c:pt>
                <c:pt idx="53">
                  <c:v>-6.3705914337985364E-2</c:v>
                </c:pt>
                <c:pt idx="54">
                  <c:v>-6.4215058824103971E-2</c:v>
                </c:pt>
                <c:pt idx="55">
                  <c:v>-6.6103136293460429E-2</c:v>
                </c:pt>
                <c:pt idx="56">
                  <c:v>-6.6760781254696949E-2</c:v>
                </c:pt>
                <c:pt idx="57">
                  <c:v>-7.3613017463709685E-2</c:v>
                </c:pt>
                <c:pt idx="58">
                  <c:v>-7.7792245120599818E-2</c:v>
                </c:pt>
                <c:pt idx="59">
                  <c:v>-7.7940745595717759E-2</c:v>
                </c:pt>
                <c:pt idx="60">
                  <c:v>-7.9786394357897666E-2</c:v>
                </c:pt>
                <c:pt idx="61">
                  <c:v>-8.460205262243603E-2</c:v>
                </c:pt>
                <c:pt idx="62">
                  <c:v>-8.6341629616674576E-2</c:v>
                </c:pt>
                <c:pt idx="63">
                  <c:v>-8.8547922389855149E-2</c:v>
                </c:pt>
                <c:pt idx="64">
                  <c:v>-9.0945144345330187E-2</c:v>
                </c:pt>
                <c:pt idx="65">
                  <c:v>-9.315143711851076E-2</c:v>
                </c:pt>
                <c:pt idx="66">
                  <c:v>-0.10658012293988869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91-40BB-8D07-C946D6155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57192"/>
        <c:axId val="1"/>
      </c:scatterChart>
      <c:valAx>
        <c:axId val="789957192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4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957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2996898115006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Cas - O-C Diagr.</a:t>
            </a:r>
          </a:p>
        </c:rich>
      </c:tx>
      <c:layout>
        <c:manualLayout>
          <c:xMode val="edge"/>
          <c:yMode val="edge"/>
          <c:x val="0.3525773195876288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2886597938144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6-4276-92F5-5C9EA155FA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1">
                  <c:v>0.21500000000014552</c:v>
                </c:pt>
                <c:pt idx="2">
                  <c:v>9.4519099999160971E-2</c:v>
                </c:pt>
                <c:pt idx="3">
                  <c:v>-9.6910700001899386E-2</c:v>
                </c:pt>
                <c:pt idx="4">
                  <c:v>-0.23024690000238479</c:v>
                </c:pt>
                <c:pt idx="5">
                  <c:v>-2.7391600000555627E-2</c:v>
                </c:pt>
                <c:pt idx="6">
                  <c:v>-2.9298000001290347E-2</c:v>
                </c:pt>
                <c:pt idx="7">
                  <c:v>2.7209799998672679E-2</c:v>
                </c:pt>
                <c:pt idx="8">
                  <c:v>0.15466649999871152</c:v>
                </c:pt>
                <c:pt idx="9">
                  <c:v>4.3864999999641441E-2</c:v>
                </c:pt>
                <c:pt idx="10">
                  <c:v>-4.8045699997601332E-2</c:v>
                </c:pt>
                <c:pt idx="11">
                  <c:v>0.13496130000203266</c:v>
                </c:pt>
                <c:pt idx="12">
                  <c:v>4.0667599998414516E-2</c:v>
                </c:pt>
                <c:pt idx="13">
                  <c:v>4.9526999973750208E-3</c:v>
                </c:pt>
                <c:pt idx="14">
                  <c:v>-1.6477100001793588E-2</c:v>
                </c:pt>
                <c:pt idx="15">
                  <c:v>-2.8543799999170005E-2</c:v>
                </c:pt>
                <c:pt idx="16">
                  <c:v>0.11097959999824525</c:v>
                </c:pt>
                <c:pt idx="17">
                  <c:v>4.2565400002786191E-2</c:v>
                </c:pt>
                <c:pt idx="18">
                  <c:v>3.7162499997066334E-2</c:v>
                </c:pt>
                <c:pt idx="19">
                  <c:v>-0.15188859999761917</c:v>
                </c:pt>
                <c:pt idx="20">
                  <c:v>-3.4534099999291357E-2</c:v>
                </c:pt>
                <c:pt idx="21">
                  <c:v>5.8076999994227663E-2</c:v>
                </c:pt>
                <c:pt idx="22">
                  <c:v>3.0269599999883212E-2</c:v>
                </c:pt>
                <c:pt idx="23">
                  <c:v>1.4581600000383332E-2</c:v>
                </c:pt>
                <c:pt idx="24">
                  <c:v>8.4793999994872138E-3</c:v>
                </c:pt>
                <c:pt idx="25">
                  <c:v>7.3300299998663832E-2</c:v>
                </c:pt>
                <c:pt idx="26">
                  <c:v>5.1603700005216524E-2</c:v>
                </c:pt>
                <c:pt idx="27">
                  <c:v>6.0216400001081638E-2</c:v>
                </c:pt>
                <c:pt idx="28">
                  <c:v>-4.14048999955412E-2</c:v>
                </c:pt>
                <c:pt idx="29">
                  <c:v>-3.8858000043546781E-3</c:v>
                </c:pt>
                <c:pt idx="30">
                  <c:v>-2.0928999947500415E-3</c:v>
                </c:pt>
                <c:pt idx="31">
                  <c:v>0.14094960000511492</c:v>
                </c:pt>
                <c:pt idx="32">
                  <c:v>0.12942189999739639</c:v>
                </c:pt>
                <c:pt idx="33">
                  <c:v>-3.4582399995997548E-2</c:v>
                </c:pt>
                <c:pt idx="34">
                  <c:v>-7.429730000148993E-2</c:v>
                </c:pt>
                <c:pt idx="35">
                  <c:v>9.1733900000690483E-2</c:v>
                </c:pt>
                <c:pt idx="36">
                  <c:v>-6.3980999999330379E-2</c:v>
                </c:pt>
                <c:pt idx="37">
                  <c:v>6.1682800005655736E-2</c:v>
                </c:pt>
                <c:pt idx="38">
                  <c:v>-8.1779799998912495E-2</c:v>
                </c:pt>
                <c:pt idx="39">
                  <c:v>-8.5269299997889902E-2</c:v>
                </c:pt>
                <c:pt idx="40">
                  <c:v>7.6238499997998588E-2</c:v>
                </c:pt>
                <c:pt idx="41">
                  <c:v>-0.17047639999509556</c:v>
                </c:pt>
                <c:pt idx="42">
                  <c:v>-0.11986369999794988</c:v>
                </c:pt>
                <c:pt idx="43">
                  <c:v>-6.8480999980238266E-3</c:v>
                </c:pt>
                <c:pt idx="44">
                  <c:v>-0.17478570000093896</c:v>
                </c:pt>
                <c:pt idx="45">
                  <c:v>1.7229900004167575E-2</c:v>
                </c:pt>
                <c:pt idx="46">
                  <c:v>-6.5692099997249898E-2</c:v>
                </c:pt>
                <c:pt idx="47">
                  <c:v>-6.5172999995411374E-2</c:v>
                </c:pt>
                <c:pt idx="48">
                  <c:v>1.5232600002491381E-2</c:v>
                </c:pt>
                <c:pt idx="49">
                  <c:v>-3.3766300002753269E-2</c:v>
                </c:pt>
                <c:pt idx="50">
                  <c:v>-2.1258499997202307E-2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6-4276-92F5-5C9EA155FA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51">
                  <c:v>-6.2126900003931951E-2</c:v>
                </c:pt>
                <c:pt idx="52">
                  <c:v>-6.4822699998330791E-2</c:v>
                </c:pt>
                <c:pt idx="53">
                  <c:v>-5.9795100001792889E-2</c:v>
                </c:pt>
                <c:pt idx="54">
                  <c:v>-5.8001500001410022E-2</c:v>
                </c:pt>
                <c:pt idx="55">
                  <c:v>-7.1404399997845758E-2</c:v>
                </c:pt>
                <c:pt idx="56">
                  <c:v>-6.8033499999728519E-2</c:v>
                </c:pt>
                <c:pt idx="57">
                  <c:v>-6.7023799994785804E-2</c:v>
                </c:pt>
                <c:pt idx="62">
                  <c:v>-8.7983799996436574E-2</c:v>
                </c:pt>
                <c:pt idx="63">
                  <c:v>-8.8078199994924944E-2</c:v>
                </c:pt>
                <c:pt idx="64">
                  <c:v>-0.10648749999381835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86-4276-92F5-5C9EA155FA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58">
                  <c:v>-7.8205500001786277E-2</c:v>
                </c:pt>
                <c:pt idx="59">
                  <c:v>-7.4028199996973854E-2</c:v>
                </c:pt>
                <c:pt idx="60">
                  <c:v>-8.3238899998832494E-2</c:v>
                </c:pt>
                <c:pt idx="61">
                  <c:v>-8.0303599999751896E-2</c:v>
                </c:pt>
                <c:pt idx="65">
                  <c:v>-9.3281899993598927E-2</c:v>
                </c:pt>
                <c:pt idx="66">
                  <c:v>-9.9463200000172947E-2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86-4276-92F5-5C9EA155FA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86-4276-92F5-5C9EA155FA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86-4276-92F5-5C9EA155FA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4.0000000000000001E-3</c:v>
                  </c:pt>
                  <c:pt idx="53">
                    <c:v>1.9E-3</c:v>
                  </c:pt>
                  <c:pt idx="54">
                    <c:v>3.3E-3</c:v>
                  </c:pt>
                  <c:pt idx="55">
                    <c:v>3.0000000000000001E-3</c:v>
                  </c:pt>
                  <c:pt idx="56">
                    <c:v>6.8999999999999999E-3</c:v>
                  </c:pt>
                  <c:pt idx="57">
                    <c:v>1.9E-3</c:v>
                  </c:pt>
                  <c:pt idx="58">
                    <c:v>0</c:v>
                  </c:pt>
                  <c:pt idx="59">
                    <c:v>1.1000000000000001E-3</c:v>
                  </c:pt>
                  <c:pt idx="60">
                    <c:v>8.9999999999999998E-4</c:v>
                  </c:pt>
                  <c:pt idx="61">
                    <c:v>0</c:v>
                  </c:pt>
                  <c:pt idx="62">
                    <c:v>1.12E-2</c:v>
                  </c:pt>
                  <c:pt idx="63">
                    <c:v>2.8E-3</c:v>
                  </c:pt>
                  <c:pt idx="64">
                    <c:v>1.09E-2</c:v>
                  </c:pt>
                  <c:pt idx="6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86-4276-92F5-5C9EA155FA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0</c:v>
                </c:pt>
                <c:pt idx="2">
                  <c:v>69</c:v>
                </c:pt>
                <c:pt idx="3">
                  <c:v>87</c:v>
                </c:pt>
                <c:pt idx="4">
                  <c:v>129</c:v>
                </c:pt>
                <c:pt idx="5">
                  <c:v>156</c:v>
                </c:pt>
                <c:pt idx="6">
                  <c:v>180</c:v>
                </c:pt>
                <c:pt idx="7">
                  <c:v>182</c:v>
                </c:pt>
                <c:pt idx="8">
                  <c:v>235</c:v>
                </c:pt>
                <c:pt idx="9">
                  <c:v>350</c:v>
                </c:pt>
                <c:pt idx="10">
                  <c:v>437</c:v>
                </c:pt>
                <c:pt idx="11">
                  <c:v>567</c:v>
                </c:pt>
                <c:pt idx="12">
                  <c:v>684</c:v>
                </c:pt>
                <c:pt idx="13">
                  <c:v>693</c:v>
                </c:pt>
                <c:pt idx="14">
                  <c:v>711</c:v>
                </c:pt>
                <c:pt idx="15">
                  <c:v>758</c:v>
                </c:pt>
                <c:pt idx="16">
                  <c:v>764</c:v>
                </c:pt>
                <c:pt idx="17">
                  <c:v>786</c:v>
                </c:pt>
                <c:pt idx="18">
                  <c:v>875</c:v>
                </c:pt>
                <c:pt idx="19">
                  <c:v>926</c:v>
                </c:pt>
                <c:pt idx="20">
                  <c:v>1081</c:v>
                </c:pt>
                <c:pt idx="21">
                  <c:v>1430</c:v>
                </c:pt>
                <c:pt idx="22">
                  <c:v>1864</c:v>
                </c:pt>
                <c:pt idx="23">
                  <c:v>1944</c:v>
                </c:pt>
                <c:pt idx="24">
                  <c:v>2046</c:v>
                </c:pt>
                <c:pt idx="25">
                  <c:v>2577</c:v>
                </c:pt>
                <c:pt idx="26">
                  <c:v>2783</c:v>
                </c:pt>
                <c:pt idx="27">
                  <c:v>2876</c:v>
                </c:pt>
                <c:pt idx="28">
                  <c:v>2909</c:v>
                </c:pt>
                <c:pt idx="29">
                  <c:v>2978</c:v>
                </c:pt>
                <c:pt idx="30">
                  <c:v>2989</c:v>
                </c:pt>
                <c:pt idx="31">
                  <c:v>3064</c:v>
                </c:pt>
                <c:pt idx="32">
                  <c:v>3121</c:v>
                </c:pt>
                <c:pt idx="33">
                  <c:v>3184</c:v>
                </c:pt>
                <c:pt idx="34">
                  <c:v>3193</c:v>
                </c:pt>
                <c:pt idx="35">
                  <c:v>3201</c:v>
                </c:pt>
                <c:pt idx="36">
                  <c:v>3210</c:v>
                </c:pt>
                <c:pt idx="37">
                  <c:v>3252</c:v>
                </c:pt>
                <c:pt idx="38">
                  <c:v>3518</c:v>
                </c:pt>
                <c:pt idx="39">
                  <c:v>3713</c:v>
                </c:pt>
                <c:pt idx="40">
                  <c:v>3715</c:v>
                </c:pt>
                <c:pt idx="41">
                  <c:v>3724</c:v>
                </c:pt>
                <c:pt idx="42">
                  <c:v>3817</c:v>
                </c:pt>
                <c:pt idx="43">
                  <c:v>3821</c:v>
                </c:pt>
                <c:pt idx="44">
                  <c:v>3837</c:v>
                </c:pt>
                <c:pt idx="45">
                  <c:v>3841</c:v>
                </c:pt>
                <c:pt idx="46">
                  <c:v>3861</c:v>
                </c:pt>
                <c:pt idx="47">
                  <c:v>3930</c:v>
                </c:pt>
                <c:pt idx="48">
                  <c:v>4034</c:v>
                </c:pt>
                <c:pt idx="49">
                  <c:v>4483</c:v>
                </c:pt>
                <c:pt idx="50">
                  <c:v>4485</c:v>
                </c:pt>
                <c:pt idx="51">
                  <c:v>6929</c:v>
                </c:pt>
                <c:pt idx="52">
                  <c:v>7007</c:v>
                </c:pt>
                <c:pt idx="53">
                  <c:v>7091</c:v>
                </c:pt>
                <c:pt idx="54">
                  <c:v>7115</c:v>
                </c:pt>
                <c:pt idx="55">
                  <c:v>7204</c:v>
                </c:pt>
                <c:pt idx="56">
                  <c:v>7235</c:v>
                </c:pt>
                <c:pt idx="57">
                  <c:v>7558</c:v>
                </c:pt>
                <c:pt idx="58">
                  <c:v>7755</c:v>
                </c:pt>
                <c:pt idx="59">
                  <c:v>7762</c:v>
                </c:pt>
                <c:pt idx="60">
                  <c:v>7849</c:v>
                </c:pt>
                <c:pt idx="61">
                  <c:v>8076</c:v>
                </c:pt>
                <c:pt idx="62">
                  <c:v>8158</c:v>
                </c:pt>
                <c:pt idx="63">
                  <c:v>8262</c:v>
                </c:pt>
                <c:pt idx="64">
                  <c:v>8375</c:v>
                </c:pt>
                <c:pt idx="65">
                  <c:v>8479</c:v>
                </c:pt>
                <c:pt idx="66">
                  <c:v>9112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8.6725066956471086E-2</c:v>
                </c:pt>
                <c:pt idx="1">
                  <c:v>8.6725066956471086E-2</c:v>
                </c:pt>
                <c:pt idx="2">
                  <c:v>8.5261276558880134E-2</c:v>
                </c:pt>
                <c:pt idx="3">
                  <c:v>8.4879418194291179E-2</c:v>
                </c:pt>
                <c:pt idx="4">
                  <c:v>8.3988415343583644E-2</c:v>
                </c:pt>
                <c:pt idx="5">
                  <c:v>8.3415627796700226E-2</c:v>
                </c:pt>
                <c:pt idx="6">
                  <c:v>8.2906483310581619E-2</c:v>
                </c:pt>
                <c:pt idx="7">
                  <c:v>8.2864054603405082E-2</c:v>
                </c:pt>
                <c:pt idx="8">
                  <c:v>8.173969386322652E-2</c:v>
                </c:pt>
                <c:pt idx="9">
                  <c:v>7.9300043200574918E-2</c:v>
                </c:pt>
                <c:pt idx="10">
                  <c:v>7.7454394438395011E-2</c:v>
                </c:pt>
                <c:pt idx="11">
                  <c:v>7.4696528471919293E-2</c:v>
                </c:pt>
                <c:pt idx="12">
                  <c:v>7.2214449102091141E-2</c:v>
                </c:pt>
                <c:pt idx="13">
                  <c:v>7.2023519919796664E-2</c:v>
                </c:pt>
                <c:pt idx="14">
                  <c:v>7.1641661555207722E-2</c:v>
                </c:pt>
                <c:pt idx="15">
                  <c:v>7.0644586936558812E-2</c:v>
                </c:pt>
                <c:pt idx="16">
                  <c:v>7.051730081502916E-2</c:v>
                </c:pt>
                <c:pt idx="17">
                  <c:v>7.0050585036087104E-2</c:v>
                </c:pt>
                <c:pt idx="18">
                  <c:v>6.8162507566730646E-2</c:v>
                </c:pt>
                <c:pt idx="19">
                  <c:v>6.7080575533728648E-2</c:v>
                </c:pt>
                <c:pt idx="20">
                  <c:v>6.3792350727546049E-2</c:v>
                </c:pt>
                <c:pt idx="21">
                  <c:v>5.6388541325238156E-2</c:v>
                </c:pt>
                <c:pt idx="22">
                  <c:v>4.7181511867926899E-2</c:v>
                </c:pt>
                <c:pt idx="23">
                  <c:v>4.5484363580864912E-2</c:v>
                </c:pt>
                <c:pt idx="24">
                  <c:v>4.3320499514860888E-2</c:v>
                </c:pt>
                <c:pt idx="25">
                  <c:v>3.2055677759486978E-2</c:v>
                </c:pt>
                <c:pt idx="26">
                  <c:v>2.7685520920302374E-2</c:v>
                </c:pt>
                <c:pt idx="27">
                  <c:v>2.5712586036592822E-2</c:v>
                </c:pt>
                <c:pt idx="28">
                  <c:v>2.5012512368179751E-2</c:v>
                </c:pt>
                <c:pt idx="29">
                  <c:v>2.3548721970588798E-2</c:v>
                </c:pt>
                <c:pt idx="30">
                  <c:v>2.331536408111777E-2</c:v>
                </c:pt>
                <c:pt idx="31">
                  <c:v>2.1724287561997166E-2</c:v>
                </c:pt>
                <c:pt idx="32">
                  <c:v>2.0515069407465503E-2</c:v>
                </c:pt>
                <c:pt idx="33">
                  <c:v>1.9178565131404188E-2</c:v>
                </c:pt>
                <c:pt idx="34">
                  <c:v>1.898763594910971E-2</c:v>
                </c:pt>
                <c:pt idx="35">
                  <c:v>1.8817921120403522E-2</c:v>
                </c:pt>
                <c:pt idx="36">
                  <c:v>1.8626991938109044E-2</c:v>
                </c:pt>
                <c:pt idx="37">
                  <c:v>1.773598908740151E-2</c:v>
                </c:pt>
                <c:pt idx="38">
                  <c:v>1.209297103292041E-2</c:v>
                </c:pt>
                <c:pt idx="39">
                  <c:v>7.9561720832068278E-3</c:v>
                </c:pt>
                <c:pt idx="40">
                  <c:v>7.9137433760302772E-3</c:v>
                </c:pt>
                <c:pt idx="41">
                  <c:v>7.7228141937358136E-3</c:v>
                </c:pt>
                <c:pt idx="42">
                  <c:v>5.7498793100262541E-3</c:v>
                </c:pt>
                <c:pt idx="43">
                  <c:v>5.665021895673153E-3</c:v>
                </c:pt>
                <c:pt idx="44">
                  <c:v>5.3255922382607623E-3</c:v>
                </c:pt>
                <c:pt idx="45">
                  <c:v>5.2407348239076612E-3</c:v>
                </c:pt>
                <c:pt idx="46">
                  <c:v>4.8164477521421695E-3</c:v>
                </c:pt>
                <c:pt idx="47">
                  <c:v>3.3526573545512028E-3</c:v>
                </c:pt>
                <c:pt idx="48">
                  <c:v>1.1463645813706291E-3</c:v>
                </c:pt>
                <c:pt idx="49">
                  <c:v>-8.37888017976475E-3</c:v>
                </c:pt>
                <c:pt idx="50">
                  <c:v>-8.4213088869413005E-3</c:v>
                </c:pt>
                <c:pt idx="51">
                  <c:v>-6.0269189056684852E-2</c:v>
                </c:pt>
                <c:pt idx="52">
                  <c:v>-6.1923908636570296E-2</c:v>
                </c:pt>
                <c:pt idx="53">
                  <c:v>-6.3705914337985364E-2</c:v>
                </c:pt>
                <c:pt idx="54">
                  <c:v>-6.4215058824103971E-2</c:v>
                </c:pt>
                <c:pt idx="55">
                  <c:v>-6.6103136293460429E-2</c:v>
                </c:pt>
                <c:pt idx="56">
                  <c:v>-6.6760781254696949E-2</c:v>
                </c:pt>
                <c:pt idx="57">
                  <c:v>-7.3613017463709685E-2</c:v>
                </c:pt>
                <c:pt idx="58">
                  <c:v>-7.7792245120599818E-2</c:v>
                </c:pt>
                <c:pt idx="59">
                  <c:v>-7.7940745595717759E-2</c:v>
                </c:pt>
                <c:pt idx="60">
                  <c:v>-7.9786394357897666E-2</c:v>
                </c:pt>
                <c:pt idx="61">
                  <c:v>-8.460205262243603E-2</c:v>
                </c:pt>
                <c:pt idx="62">
                  <c:v>-8.6341629616674576E-2</c:v>
                </c:pt>
                <c:pt idx="63">
                  <c:v>-8.8547922389855149E-2</c:v>
                </c:pt>
                <c:pt idx="64">
                  <c:v>-9.0945144345330187E-2</c:v>
                </c:pt>
                <c:pt idx="65">
                  <c:v>-9.315143711851076E-2</c:v>
                </c:pt>
                <c:pt idx="66">
                  <c:v>-0.10658012293988869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86-4276-92F5-5C9EA155F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56536"/>
        <c:axId val="1"/>
      </c:scatterChart>
      <c:valAx>
        <c:axId val="7899565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956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08247422680411"/>
          <c:y val="0.92024539877300615"/>
          <c:w val="0.8371134020618556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</xdr:rowOff>
    </xdr:from>
    <xdr:to>
      <xdr:col>17</xdr:col>
      <xdr:colOff>381000</xdr:colOff>
      <xdr:row>17</xdr:row>
      <xdr:rowOff>114301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4F27DE1-E41B-9243-350D-A51C050C7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495301</xdr:colOff>
      <xdr:row>0</xdr:row>
      <xdr:rowOff>19050</xdr:rowOff>
    </xdr:from>
    <xdr:to>
      <xdr:col>27</xdr:col>
      <xdr:colOff>76201</xdr:colOff>
      <xdr:row>17</xdr:row>
      <xdr:rowOff>104775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2D0353CF-869B-16BD-20B2-0DADBAA70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5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6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A71" sqref="A71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25</v>
      </c>
      <c r="B2" s="14" t="s">
        <v>29</v>
      </c>
    </row>
    <row r="4" spans="1:6" ht="14.25" thickTop="1" thickBot="1" x14ac:dyDescent="0.25">
      <c r="A4" s="7" t="s">
        <v>1</v>
      </c>
      <c r="C4" s="3">
        <v>28008.215</v>
      </c>
      <c r="D4" s="4">
        <v>3.4517460999999998</v>
      </c>
    </row>
    <row r="5" spans="1:6" ht="13.5" thickTop="1" x14ac:dyDescent="0.2">
      <c r="A5" s="16" t="s">
        <v>32</v>
      </c>
      <c r="B5" s="17"/>
      <c r="C5" s="18">
        <v>-9.5</v>
      </c>
      <c r="D5" s="17" t="s">
        <v>33</v>
      </c>
    </row>
    <row r="6" spans="1:6" x14ac:dyDescent="0.2">
      <c r="A6" s="7" t="s">
        <v>2</v>
      </c>
    </row>
    <row r="7" spans="1:6" x14ac:dyDescent="0.2">
      <c r="A7" t="s">
        <v>3</v>
      </c>
      <c r="C7">
        <f>+C4</f>
        <v>28008.215</v>
      </c>
    </row>
    <row r="8" spans="1:6" x14ac:dyDescent="0.2">
      <c r="A8" t="s">
        <v>4</v>
      </c>
      <c r="C8">
        <f>+D4</f>
        <v>3.4517460999999998</v>
      </c>
    </row>
    <row r="9" spans="1:6" x14ac:dyDescent="0.2">
      <c r="A9" s="31" t="s">
        <v>39</v>
      </c>
      <c r="B9" s="32">
        <v>72</v>
      </c>
      <c r="C9" s="20" t="str">
        <f>"F"&amp;B9</f>
        <v>F72</v>
      </c>
      <c r="D9" s="21" t="str">
        <f>"G"&amp;B9</f>
        <v>G72</v>
      </c>
    </row>
    <row r="10" spans="1:6" ht="13.5" thickBot="1" x14ac:dyDescent="0.25">
      <c r="A10" s="17"/>
      <c r="B10" s="17"/>
      <c r="C10" s="6" t="s">
        <v>21</v>
      </c>
      <c r="D10" s="6" t="s">
        <v>22</v>
      </c>
      <c r="E10" s="17"/>
    </row>
    <row r="11" spans="1:6" x14ac:dyDescent="0.2">
      <c r="A11" s="17" t="s">
        <v>17</v>
      </c>
      <c r="B11" s="17"/>
      <c r="C11" s="19">
        <f ca="1">INTERCEPT(INDIRECT($D$9):G992,INDIRECT($C$9):F992)</f>
        <v>8.6725066956471086E-2</v>
      </c>
      <c r="D11" s="5"/>
      <c r="E11" s="17"/>
    </row>
    <row r="12" spans="1:6" x14ac:dyDescent="0.2">
      <c r="A12" s="17" t="s">
        <v>18</v>
      </c>
      <c r="B12" s="17"/>
      <c r="C12" s="19">
        <f ca="1">SLOPE(INDIRECT($D$9):G992,INDIRECT($C$9):F992)</f>
        <v>-2.121435358827478E-5</v>
      </c>
      <c r="D12" s="5"/>
      <c r="E12" s="17"/>
    </row>
    <row r="13" spans="1:6" x14ac:dyDescent="0.2">
      <c r="A13" s="17" t="s">
        <v>20</v>
      </c>
      <c r="B13" s="17"/>
      <c r="C13" s="5" t="s">
        <v>15</v>
      </c>
    </row>
    <row r="14" spans="1:6" x14ac:dyDescent="0.2">
      <c r="A14" s="17"/>
      <c r="B14" s="17"/>
      <c r="C14" s="17"/>
    </row>
    <row r="15" spans="1:6" x14ac:dyDescent="0.2">
      <c r="A15" s="22" t="s">
        <v>19</v>
      </c>
      <c r="B15" s="17"/>
      <c r="C15" s="23">
        <f ca="1">(C7+C11)+(C8+C12)*INT(MAX(F21:F3533))</f>
        <v>59460.418883077058</v>
      </c>
      <c r="E15" s="24" t="s">
        <v>42</v>
      </c>
      <c r="F15" s="18">
        <v>1</v>
      </c>
    </row>
    <row r="16" spans="1:6" x14ac:dyDescent="0.2">
      <c r="A16" s="26" t="s">
        <v>5</v>
      </c>
      <c r="B16" s="17"/>
      <c r="C16" s="27">
        <f ca="1">+C8+C12</f>
        <v>3.4517248856464113</v>
      </c>
      <c r="E16" s="24" t="s">
        <v>34</v>
      </c>
      <c r="F16" s="25">
        <f ca="1">NOW()+15018.5+$C$5/24</f>
        <v>60328.740253009259</v>
      </c>
    </row>
    <row r="17" spans="1:17" ht="13.5" thickBot="1" x14ac:dyDescent="0.25">
      <c r="A17" s="24" t="s">
        <v>30</v>
      </c>
      <c r="B17" s="17"/>
      <c r="C17" s="17">
        <f>COUNT(C21:C2191)</f>
        <v>67</v>
      </c>
      <c r="E17" s="24" t="s">
        <v>43</v>
      </c>
      <c r="F17" s="25">
        <f ca="1">ROUND(2*(F16-$C$7)/$C$8,0)/2+F15</f>
        <v>9364.5</v>
      </c>
    </row>
    <row r="18" spans="1:17" ht="14.25" thickTop="1" thickBot="1" x14ac:dyDescent="0.25">
      <c r="A18" s="26" t="s">
        <v>6</v>
      </c>
      <c r="B18" s="17"/>
      <c r="C18" s="29">
        <f ca="1">+C15</f>
        <v>59460.418883077058</v>
      </c>
      <c r="D18" s="30">
        <f ca="1">+C16</f>
        <v>3.4517248856464113</v>
      </c>
      <c r="E18" s="24" t="s">
        <v>35</v>
      </c>
      <c r="F18" s="21">
        <f ca="1">ROUND(2*(F16-$C$15)/$C$16,0)/2+F15</f>
        <v>252.5</v>
      </c>
    </row>
    <row r="19" spans="1:17" ht="13.5" thickTop="1" x14ac:dyDescent="0.2">
      <c r="E19" s="24" t="s">
        <v>36</v>
      </c>
      <c r="F19" s="28">
        <f ca="1">+$C$15+$C$16*F18-15018.5-$C$5/24</f>
        <v>45313.875250036115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280</v>
      </c>
      <c r="M20" s="9" t="s">
        <v>281</v>
      </c>
      <c r="N20" s="9" t="s">
        <v>282</v>
      </c>
      <c r="O20" s="9" t="s">
        <v>24</v>
      </c>
      <c r="P20" s="8" t="s">
        <v>23</v>
      </c>
      <c r="Q20" s="6" t="s">
        <v>16</v>
      </c>
    </row>
    <row r="21" spans="1:17" x14ac:dyDescent="0.2">
      <c r="A21" t="s">
        <v>13</v>
      </c>
      <c r="C21" s="10">
        <v>28008.215</v>
      </c>
      <c r="D21" s="10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8.6725066956471086E-2</v>
      </c>
      <c r="Q21" s="2">
        <f t="shared" ref="Q21:Q52" si="4">+C21-15018.5</f>
        <v>12989.715</v>
      </c>
    </row>
    <row r="22" spans="1:17" x14ac:dyDescent="0.2">
      <c r="A22" s="58" t="s">
        <v>63</v>
      </c>
      <c r="B22" s="57" t="s">
        <v>38</v>
      </c>
      <c r="C22" s="58">
        <v>28008.43</v>
      </c>
      <c r="D22" s="58" t="s">
        <v>57</v>
      </c>
      <c r="E22">
        <f t="shared" si="0"/>
        <v>6.2287315976150601E-2</v>
      </c>
      <c r="F22">
        <f t="shared" si="1"/>
        <v>0</v>
      </c>
      <c r="G22">
        <f t="shared" si="2"/>
        <v>0.21500000000014552</v>
      </c>
      <c r="H22" s="10"/>
      <c r="I22" s="5">
        <f t="shared" ref="I22:I53" si="5">G22</f>
        <v>0.21500000000014552</v>
      </c>
      <c r="J22" s="5"/>
      <c r="O22">
        <f t="shared" ca="1" si="3"/>
        <v>8.6725066956471086E-2</v>
      </c>
      <c r="Q22" s="2">
        <f t="shared" si="4"/>
        <v>12989.93</v>
      </c>
    </row>
    <row r="23" spans="1:17" x14ac:dyDescent="0.2">
      <c r="A23" s="58" t="s">
        <v>63</v>
      </c>
      <c r="B23" s="57" t="s">
        <v>38</v>
      </c>
      <c r="C23" s="58">
        <v>28246.48</v>
      </c>
      <c r="D23" s="58" t="s">
        <v>57</v>
      </c>
      <c r="E23">
        <f t="shared" si="0"/>
        <v>69.027382981616014</v>
      </c>
      <c r="F23">
        <f t="shared" si="1"/>
        <v>69</v>
      </c>
      <c r="G23">
        <f t="shared" si="2"/>
        <v>9.4519099999160971E-2</v>
      </c>
      <c r="H23" s="10"/>
      <c r="I23" s="5">
        <f t="shared" si="5"/>
        <v>9.4519099999160971E-2</v>
      </c>
      <c r="J23" s="5"/>
      <c r="O23">
        <f t="shared" ca="1" si="3"/>
        <v>8.5261276558880134E-2</v>
      </c>
      <c r="Q23" s="2">
        <f t="shared" si="4"/>
        <v>13227.98</v>
      </c>
    </row>
    <row r="24" spans="1:17" x14ac:dyDescent="0.2">
      <c r="A24" s="58" t="s">
        <v>63</v>
      </c>
      <c r="B24" s="57" t="s">
        <v>38</v>
      </c>
      <c r="C24" s="58">
        <v>28308.42</v>
      </c>
      <c r="D24" s="58" t="s">
        <v>57</v>
      </c>
      <c r="E24">
        <f t="shared" si="0"/>
        <v>86.971924151662876</v>
      </c>
      <c r="F24">
        <f t="shared" si="1"/>
        <v>87</v>
      </c>
      <c r="G24">
        <f t="shared" si="2"/>
        <v>-9.6910700001899386E-2</v>
      </c>
      <c r="H24" s="10"/>
      <c r="I24" s="5">
        <f t="shared" si="5"/>
        <v>-9.6910700001899386E-2</v>
      </c>
      <c r="J24" s="5"/>
      <c r="O24">
        <f t="shared" ca="1" si="3"/>
        <v>8.4879418194291179E-2</v>
      </c>
      <c r="Q24" s="2">
        <f t="shared" si="4"/>
        <v>13289.919999999998</v>
      </c>
    </row>
    <row r="25" spans="1:17" x14ac:dyDescent="0.2">
      <c r="A25" s="58" t="s">
        <v>63</v>
      </c>
      <c r="B25" s="57" t="s">
        <v>38</v>
      </c>
      <c r="C25" s="58">
        <v>28453.26</v>
      </c>
      <c r="D25" s="58" t="s">
        <v>57</v>
      </c>
      <c r="E25">
        <f t="shared" si="0"/>
        <v>128.93329552831196</v>
      </c>
      <c r="F25">
        <f t="shared" si="1"/>
        <v>129</v>
      </c>
      <c r="G25">
        <f t="shared" si="2"/>
        <v>-0.23024690000238479</v>
      </c>
      <c r="H25" s="10"/>
      <c r="I25" s="5">
        <f t="shared" si="5"/>
        <v>-0.23024690000238479</v>
      </c>
      <c r="J25" s="5"/>
      <c r="O25">
        <f t="shared" ca="1" si="3"/>
        <v>8.3988415343583644E-2</v>
      </c>
      <c r="Q25" s="2">
        <f t="shared" si="4"/>
        <v>13434.759999999998</v>
      </c>
    </row>
    <row r="26" spans="1:17" x14ac:dyDescent="0.2">
      <c r="A26" s="58" t="s">
        <v>63</v>
      </c>
      <c r="B26" s="57" t="s">
        <v>38</v>
      </c>
      <c r="C26" s="58">
        <v>28546.66</v>
      </c>
      <c r="D26" s="58" t="s">
        <v>57</v>
      </c>
      <c r="E26">
        <f t="shared" si="0"/>
        <v>155.99206442211951</v>
      </c>
      <c r="F26">
        <f t="shared" si="1"/>
        <v>156</v>
      </c>
      <c r="G26">
        <f t="shared" si="2"/>
        <v>-2.7391600000555627E-2</v>
      </c>
      <c r="H26" s="10"/>
      <c r="I26" s="5">
        <f t="shared" si="5"/>
        <v>-2.7391600000555627E-2</v>
      </c>
      <c r="J26" s="5"/>
      <c r="O26">
        <f t="shared" ca="1" si="3"/>
        <v>8.3415627796700226E-2</v>
      </c>
      <c r="Q26" s="2">
        <f t="shared" si="4"/>
        <v>13528.16</v>
      </c>
    </row>
    <row r="27" spans="1:17" x14ac:dyDescent="0.2">
      <c r="A27" s="58" t="s">
        <v>63</v>
      </c>
      <c r="B27" s="57" t="s">
        <v>38</v>
      </c>
      <c r="C27" s="58">
        <v>28629.5</v>
      </c>
      <c r="D27" s="58" t="s">
        <v>57</v>
      </c>
      <c r="E27">
        <f t="shared" si="0"/>
        <v>179.99151212193732</v>
      </c>
      <c r="F27">
        <f t="shared" si="1"/>
        <v>180</v>
      </c>
      <c r="G27">
        <f t="shared" si="2"/>
        <v>-2.9298000001290347E-2</v>
      </c>
      <c r="H27" s="10"/>
      <c r="I27" s="5">
        <f t="shared" si="5"/>
        <v>-2.9298000001290347E-2</v>
      </c>
      <c r="J27" s="5"/>
      <c r="O27">
        <f t="shared" ca="1" si="3"/>
        <v>8.2906483310581619E-2</v>
      </c>
      <c r="Q27" s="2">
        <f t="shared" si="4"/>
        <v>13611</v>
      </c>
    </row>
    <row r="28" spans="1:17" x14ac:dyDescent="0.2">
      <c r="A28" s="58" t="s">
        <v>63</v>
      </c>
      <c r="B28" s="57" t="s">
        <v>38</v>
      </c>
      <c r="C28" s="58">
        <v>28636.46</v>
      </c>
      <c r="D28" s="58" t="s">
        <v>57</v>
      </c>
      <c r="E28">
        <f t="shared" si="0"/>
        <v>182.0078829088846</v>
      </c>
      <c r="F28">
        <f t="shared" si="1"/>
        <v>182</v>
      </c>
      <c r="G28">
        <f t="shared" si="2"/>
        <v>2.7209799998672679E-2</v>
      </c>
      <c r="H28" s="10"/>
      <c r="I28" s="5">
        <f t="shared" si="5"/>
        <v>2.7209799998672679E-2</v>
      </c>
      <c r="J28" s="5"/>
      <c r="O28">
        <f t="shared" ca="1" si="3"/>
        <v>8.2864054603405082E-2</v>
      </c>
      <c r="Q28" s="2">
        <f t="shared" si="4"/>
        <v>13617.96</v>
      </c>
    </row>
    <row r="29" spans="1:17" x14ac:dyDescent="0.2">
      <c r="A29" s="58" t="s">
        <v>63</v>
      </c>
      <c r="B29" s="57" t="s">
        <v>38</v>
      </c>
      <c r="C29" s="58">
        <v>28819.53</v>
      </c>
      <c r="D29" s="58" t="s">
        <v>57</v>
      </c>
      <c r="E29">
        <f t="shared" si="0"/>
        <v>235.04480819142483</v>
      </c>
      <c r="F29">
        <f t="shared" si="1"/>
        <v>235</v>
      </c>
      <c r="G29">
        <f t="shared" si="2"/>
        <v>0.15466649999871152</v>
      </c>
      <c r="H29" s="10"/>
      <c r="I29" s="5">
        <f t="shared" si="5"/>
        <v>0.15466649999871152</v>
      </c>
      <c r="J29" s="5"/>
      <c r="O29">
        <f t="shared" ca="1" si="3"/>
        <v>8.173969386322652E-2</v>
      </c>
      <c r="Q29" s="2">
        <f t="shared" si="4"/>
        <v>13801.029999999999</v>
      </c>
    </row>
    <row r="30" spans="1:17" x14ac:dyDescent="0.2">
      <c r="A30" s="58" t="s">
        <v>63</v>
      </c>
      <c r="B30" s="57" t="s">
        <v>38</v>
      </c>
      <c r="C30" s="58">
        <v>29216.37</v>
      </c>
      <c r="D30" s="58" t="s">
        <v>57</v>
      </c>
      <c r="E30">
        <f t="shared" si="0"/>
        <v>350.01270806100104</v>
      </c>
      <c r="F30">
        <f t="shared" si="1"/>
        <v>350</v>
      </c>
      <c r="G30">
        <f t="shared" si="2"/>
        <v>4.3864999999641441E-2</v>
      </c>
      <c r="H30" s="10"/>
      <c r="I30" s="5">
        <f t="shared" si="5"/>
        <v>4.3864999999641441E-2</v>
      </c>
      <c r="J30" s="5"/>
      <c r="O30">
        <f t="shared" ca="1" si="3"/>
        <v>7.9300043200574918E-2</v>
      </c>
      <c r="Q30" s="2">
        <f t="shared" si="4"/>
        <v>14197.869999999999</v>
      </c>
    </row>
    <row r="31" spans="1:17" x14ac:dyDescent="0.2">
      <c r="A31" s="58" t="s">
        <v>63</v>
      </c>
      <c r="B31" s="57" t="s">
        <v>38</v>
      </c>
      <c r="C31" s="58">
        <v>29516.58</v>
      </c>
      <c r="D31" s="58" t="s">
        <v>57</v>
      </c>
      <c r="E31">
        <f t="shared" si="0"/>
        <v>436.98608075489727</v>
      </c>
      <c r="F31">
        <f t="shared" si="1"/>
        <v>437</v>
      </c>
      <c r="G31">
        <f t="shared" si="2"/>
        <v>-4.8045699997601332E-2</v>
      </c>
      <c r="H31" s="10"/>
      <c r="I31" s="5">
        <f t="shared" si="5"/>
        <v>-4.8045699997601332E-2</v>
      </c>
      <c r="J31" s="5"/>
      <c r="O31">
        <f t="shared" ca="1" si="3"/>
        <v>7.7454394438395011E-2</v>
      </c>
      <c r="Q31" s="2">
        <f t="shared" si="4"/>
        <v>14498.080000000002</v>
      </c>
    </row>
    <row r="32" spans="1:17" x14ac:dyDescent="0.2">
      <c r="A32" s="58" t="s">
        <v>63</v>
      </c>
      <c r="B32" s="57" t="s">
        <v>38</v>
      </c>
      <c r="C32" s="58">
        <v>29965.49</v>
      </c>
      <c r="D32" s="58" t="s">
        <v>57</v>
      </c>
      <c r="E32">
        <f t="shared" si="0"/>
        <v>567.03909942854762</v>
      </c>
      <c r="F32">
        <f t="shared" si="1"/>
        <v>567</v>
      </c>
      <c r="G32">
        <f t="shared" si="2"/>
        <v>0.13496130000203266</v>
      </c>
      <c r="H32" s="10"/>
      <c r="I32" s="5">
        <f t="shared" si="5"/>
        <v>0.13496130000203266</v>
      </c>
      <c r="J32" s="5"/>
      <c r="O32">
        <f t="shared" ca="1" si="3"/>
        <v>7.4696528471919293E-2</v>
      </c>
      <c r="Q32" s="2">
        <f t="shared" si="4"/>
        <v>14946.990000000002</v>
      </c>
    </row>
    <row r="33" spans="1:17" x14ac:dyDescent="0.2">
      <c r="A33" s="58" t="s">
        <v>63</v>
      </c>
      <c r="B33" s="57" t="s">
        <v>38</v>
      </c>
      <c r="C33" s="58">
        <v>30369.25</v>
      </c>
      <c r="D33" s="58" t="s">
        <v>57</v>
      </c>
      <c r="E33">
        <f t="shared" si="0"/>
        <v>684.01178174721485</v>
      </c>
      <c r="F33">
        <f t="shared" si="1"/>
        <v>684</v>
      </c>
      <c r="G33">
        <f t="shared" si="2"/>
        <v>4.0667599998414516E-2</v>
      </c>
      <c r="H33" s="10"/>
      <c r="I33" s="5">
        <f t="shared" si="5"/>
        <v>4.0667599998414516E-2</v>
      </c>
      <c r="J33" s="5"/>
      <c r="O33">
        <f t="shared" ca="1" si="3"/>
        <v>7.2214449102091141E-2</v>
      </c>
      <c r="Q33" s="2">
        <f t="shared" si="4"/>
        <v>15350.75</v>
      </c>
    </row>
    <row r="34" spans="1:17" x14ac:dyDescent="0.2">
      <c r="A34" s="58" t="s">
        <v>63</v>
      </c>
      <c r="B34" s="57" t="s">
        <v>38</v>
      </c>
      <c r="C34" s="58">
        <v>30400.28</v>
      </c>
      <c r="D34" s="58" t="s">
        <v>57</v>
      </c>
      <c r="E34">
        <f t="shared" si="0"/>
        <v>693.00143483902218</v>
      </c>
      <c r="F34">
        <f t="shared" si="1"/>
        <v>693</v>
      </c>
      <c r="G34">
        <f t="shared" si="2"/>
        <v>4.9526999973750208E-3</v>
      </c>
      <c r="H34" s="10"/>
      <c r="I34" s="5">
        <f t="shared" si="5"/>
        <v>4.9526999973750208E-3</v>
      </c>
      <c r="J34" s="5"/>
      <c r="O34">
        <f t="shared" ca="1" si="3"/>
        <v>7.2023519919796664E-2</v>
      </c>
      <c r="Q34" s="2">
        <f t="shared" si="4"/>
        <v>15381.779999999999</v>
      </c>
    </row>
    <row r="35" spans="1:17" x14ac:dyDescent="0.2">
      <c r="A35" s="58" t="s">
        <v>63</v>
      </c>
      <c r="B35" s="57" t="s">
        <v>38</v>
      </c>
      <c r="C35" s="58">
        <v>30462.39</v>
      </c>
      <c r="D35" s="58" t="s">
        <v>57</v>
      </c>
      <c r="E35">
        <f t="shared" si="0"/>
        <v>710.99522644495767</v>
      </c>
      <c r="F35">
        <f t="shared" si="1"/>
        <v>711</v>
      </c>
      <c r="G35">
        <f t="shared" si="2"/>
        <v>-1.6477100001793588E-2</v>
      </c>
      <c r="H35" s="10"/>
      <c r="I35" s="5">
        <f t="shared" si="5"/>
        <v>-1.6477100001793588E-2</v>
      </c>
      <c r="J35" s="5"/>
      <c r="O35">
        <f t="shared" ca="1" si="3"/>
        <v>7.1641661555207722E-2</v>
      </c>
      <c r="Q35" s="2">
        <f t="shared" si="4"/>
        <v>15443.89</v>
      </c>
    </row>
    <row r="36" spans="1:17" x14ac:dyDescent="0.2">
      <c r="A36" s="58" t="s">
        <v>63</v>
      </c>
      <c r="B36" s="57" t="s">
        <v>38</v>
      </c>
      <c r="C36" s="58">
        <v>30624.61</v>
      </c>
      <c r="D36" s="58" t="s">
        <v>57</v>
      </c>
      <c r="E36">
        <f t="shared" si="0"/>
        <v>757.99173062004775</v>
      </c>
      <c r="F36">
        <f t="shared" si="1"/>
        <v>758</v>
      </c>
      <c r="G36">
        <f t="shared" si="2"/>
        <v>-2.8543799999170005E-2</v>
      </c>
      <c r="H36" s="10"/>
      <c r="I36" s="5">
        <f t="shared" si="5"/>
        <v>-2.8543799999170005E-2</v>
      </c>
      <c r="J36" s="5"/>
      <c r="O36">
        <f t="shared" ca="1" si="3"/>
        <v>7.0644586936558812E-2</v>
      </c>
      <c r="Q36" s="2">
        <f t="shared" si="4"/>
        <v>15606.11</v>
      </c>
    </row>
    <row r="37" spans="1:17" x14ac:dyDescent="0.2">
      <c r="A37" s="58" t="s">
        <v>63</v>
      </c>
      <c r="B37" s="57" t="s">
        <v>38</v>
      </c>
      <c r="C37" s="58">
        <v>30645.46</v>
      </c>
      <c r="D37" s="58" t="s">
        <v>57</v>
      </c>
      <c r="E37">
        <f t="shared" si="0"/>
        <v>764.03215172749788</v>
      </c>
      <c r="F37">
        <f t="shared" si="1"/>
        <v>764</v>
      </c>
      <c r="G37">
        <f t="shared" si="2"/>
        <v>0.11097959999824525</v>
      </c>
      <c r="H37" s="10"/>
      <c r="I37" s="5">
        <f t="shared" si="5"/>
        <v>0.11097959999824525</v>
      </c>
      <c r="J37" s="5"/>
      <c r="O37">
        <f t="shared" ca="1" si="3"/>
        <v>7.051730081502916E-2</v>
      </c>
      <c r="Q37" s="2">
        <f t="shared" si="4"/>
        <v>15626.96</v>
      </c>
    </row>
    <row r="38" spans="1:17" x14ac:dyDescent="0.2">
      <c r="A38" s="58" t="s">
        <v>63</v>
      </c>
      <c r="B38" s="57" t="s">
        <v>38</v>
      </c>
      <c r="C38" s="58">
        <v>30721.33</v>
      </c>
      <c r="D38" s="58" t="s">
        <v>57</v>
      </c>
      <c r="E38">
        <f t="shared" si="0"/>
        <v>786.01233155590489</v>
      </c>
      <c r="F38">
        <f t="shared" si="1"/>
        <v>786</v>
      </c>
      <c r="G38">
        <f t="shared" si="2"/>
        <v>4.2565400002786191E-2</v>
      </c>
      <c r="H38" s="10"/>
      <c r="I38" s="5">
        <f t="shared" si="5"/>
        <v>4.2565400002786191E-2</v>
      </c>
      <c r="J38" s="5"/>
      <c r="O38">
        <f t="shared" ca="1" si="3"/>
        <v>7.0050585036087104E-2</v>
      </c>
      <c r="Q38" s="2">
        <f t="shared" si="4"/>
        <v>15702.830000000002</v>
      </c>
    </row>
    <row r="39" spans="1:17" x14ac:dyDescent="0.2">
      <c r="A39" s="58" t="s">
        <v>63</v>
      </c>
      <c r="B39" s="57" t="s">
        <v>38</v>
      </c>
      <c r="C39" s="58">
        <v>31028.53</v>
      </c>
      <c r="D39" s="58" t="s">
        <v>57</v>
      </c>
      <c r="E39">
        <f t="shared" si="0"/>
        <v>875.01076629013903</v>
      </c>
      <c r="F39">
        <f t="shared" si="1"/>
        <v>875</v>
      </c>
      <c r="G39">
        <f t="shared" si="2"/>
        <v>3.7162499997066334E-2</v>
      </c>
      <c r="H39" s="10"/>
      <c r="I39" s="5">
        <f t="shared" si="5"/>
        <v>3.7162499997066334E-2</v>
      </c>
      <c r="J39" s="5"/>
      <c r="O39">
        <f t="shared" ca="1" si="3"/>
        <v>6.8162507566730646E-2</v>
      </c>
      <c r="Q39" s="2">
        <f t="shared" si="4"/>
        <v>16010.029999999999</v>
      </c>
    </row>
    <row r="40" spans="1:17" x14ac:dyDescent="0.2">
      <c r="A40" s="58" t="s">
        <v>63</v>
      </c>
      <c r="B40" s="57" t="s">
        <v>38</v>
      </c>
      <c r="C40" s="58">
        <v>31204.38</v>
      </c>
      <c r="D40" s="58" t="s">
        <v>57</v>
      </c>
      <c r="E40">
        <f t="shared" si="0"/>
        <v>925.9559965896683</v>
      </c>
      <c r="F40">
        <f t="shared" si="1"/>
        <v>926</v>
      </c>
      <c r="G40">
        <f t="shared" si="2"/>
        <v>-0.15188859999761917</v>
      </c>
      <c r="H40" s="10"/>
      <c r="I40" s="5">
        <f t="shared" si="5"/>
        <v>-0.15188859999761917</v>
      </c>
      <c r="J40" s="5"/>
      <c r="O40">
        <f t="shared" ca="1" si="3"/>
        <v>6.7080575533728648E-2</v>
      </c>
      <c r="Q40" s="2">
        <f t="shared" si="4"/>
        <v>16185.880000000001</v>
      </c>
    </row>
    <row r="41" spans="1:17" x14ac:dyDescent="0.2">
      <c r="A41" s="58" t="s">
        <v>117</v>
      </c>
      <c r="B41" s="57" t="s">
        <v>38</v>
      </c>
      <c r="C41" s="58">
        <v>31739.518</v>
      </c>
      <c r="D41" s="58" t="s">
        <v>57</v>
      </c>
      <c r="E41">
        <f t="shared" si="0"/>
        <v>1080.9899951795412</v>
      </c>
      <c r="F41">
        <f t="shared" si="1"/>
        <v>1081</v>
      </c>
      <c r="G41">
        <f t="shared" si="2"/>
        <v>-3.4534099999291357E-2</v>
      </c>
      <c r="H41" s="10"/>
      <c r="I41" s="5">
        <f t="shared" si="5"/>
        <v>-3.4534099999291357E-2</v>
      </c>
      <c r="J41" s="5"/>
      <c r="O41">
        <f t="shared" ca="1" si="3"/>
        <v>6.3792350727546049E-2</v>
      </c>
      <c r="Q41" s="2">
        <f t="shared" si="4"/>
        <v>16721.018</v>
      </c>
    </row>
    <row r="42" spans="1:17" x14ac:dyDescent="0.2">
      <c r="A42" s="58" t="s">
        <v>117</v>
      </c>
      <c r="B42" s="57" t="s">
        <v>38</v>
      </c>
      <c r="C42" s="58">
        <v>32944.269999999997</v>
      </c>
      <c r="D42" s="58" t="s">
        <v>57</v>
      </c>
      <c r="E42">
        <f t="shared" si="0"/>
        <v>1430.0168253974407</v>
      </c>
      <c r="F42">
        <f t="shared" si="1"/>
        <v>1430</v>
      </c>
      <c r="G42">
        <f t="shared" si="2"/>
        <v>5.8076999994227663E-2</v>
      </c>
      <c r="H42" s="10"/>
      <c r="I42" s="5">
        <f t="shared" si="5"/>
        <v>5.8076999994227663E-2</v>
      </c>
      <c r="J42" s="5"/>
      <c r="O42">
        <f t="shared" ca="1" si="3"/>
        <v>5.6388541325238156E-2</v>
      </c>
      <c r="Q42" s="2">
        <f t="shared" si="4"/>
        <v>17925.769999999997</v>
      </c>
    </row>
    <row r="43" spans="1:17" x14ac:dyDescent="0.2">
      <c r="A43" s="58" t="s">
        <v>117</v>
      </c>
      <c r="B43" s="57" t="s">
        <v>38</v>
      </c>
      <c r="C43" s="58">
        <v>34442.300000000003</v>
      </c>
      <c r="D43" s="58" t="s">
        <v>57</v>
      </c>
      <c r="E43">
        <f t="shared" si="0"/>
        <v>1864.00876935879</v>
      </c>
      <c r="F43">
        <f t="shared" si="1"/>
        <v>1864</v>
      </c>
      <c r="G43">
        <f t="shared" si="2"/>
        <v>3.0269599999883212E-2</v>
      </c>
      <c r="H43" s="10"/>
      <c r="I43" s="5">
        <f t="shared" si="5"/>
        <v>3.0269599999883212E-2</v>
      </c>
      <c r="J43" s="5"/>
      <c r="O43">
        <f t="shared" ca="1" si="3"/>
        <v>4.7181511867926899E-2</v>
      </c>
      <c r="Q43" s="2">
        <f t="shared" si="4"/>
        <v>19423.800000000003</v>
      </c>
    </row>
    <row r="44" spans="1:17" x14ac:dyDescent="0.2">
      <c r="A44" s="58" t="s">
        <v>117</v>
      </c>
      <c r="B44" s="57" t="s">
        <v>38</v>
      </c>
      <c r="C44" s="58">
        <v>34718.423999999999</v>
      </c>
      <c r="D44" s="58" t="s">
        <v>57</v>
      </c>
      <c r="E44">
        <f t="shared" si="0"/>
        <v>1944.0042244126819</v>
      </c>
      <c r="F44">
        <f t="shared" si="1"/>
        <v>1944</v>
      </c>
      <c r="G44">
        <f t="shared" si="2"/>
        <v>1.4581600000383332E-2</v>
      </c>
      <c r="H44" s="10"/>
      <c r="I44" s="5">
        <f t="shared" si="5"/>
        <v>1.4581600000383332E-2</v>
      </c>
      <c r="J44" s="5"/>
      <c r="O44">
        <f t="shared" ca="1" si="3"/>
        <v>4.5484363580864912E-2</v>
      </c>
      <c r="Q44" s="2">
        <f t="shared" si="4"/>
        <v>19699.923999999999</v>
      </c>
    </row>
    <row r="45" spans="1:17" x14ac:dyDescent="0.2">
      <c r="A45" s="58" t="s">
        <v>117</v>
      </c>
      <c r="B45" s="57" t="s">
        <v>38</v>
      </c>
      <c r="C45" s="58">
        <v>35070.495999999999</v>
      </c>
      <c r="D45" s="58" t="s">
        <v>57</v>
      </c>
      <c r="E45">
        <f t="shared" si="0"/>
        <v>2046.0024565538001</v>
      </c>
      <c r="F45">
        <f t="shared" si="1"/>
        <v>2046</v>
      </c>
      <c r="G45">
        <f t="shared" si="2"/>
        <v>8.4793999994872138E-3</v>
      </c>
      <c r="H45" s="10"/>
      <c r="I45" s="5">
        <f t="shared" si="5"/>
        <v>8.4793999994872138E-3</v>
      </c>
      <c r="J45" s="5"/>
      <c r="O45">
        <f t="shared" ca="1" si="3"/>
        <v>4.3320499514860888E-2</v>
      </c>
      <c r="Q45" s="2">
        <f t="shared" si="4"/>
        <v>20051.995999999999</v>
      </c>
    </row>
    <row r="46" spans="1:17" x14ac:dyDescent="0.2">
      <c r="A46" s="58" t="s">
        <v>117</v>
      </c>
      <c r="B46" s="57" t="s">
        <v>38</v>
      </c>
      <c r="C46" s="58">
        <v>36903.438000000002</v>
      </c>
      <c r="D46" s="58" t="s">
        <v>57</v>
      </c>
      <c r="E46">
        <f t="shared" si="0"/>
        <v>2577.0212357160344</v>
      </c>
      <c r="F46">
        <f t="shared" si="1"/>
        <v>2577</v>
      </c>
      <c r="G46">
        <f t="shared" si="2"/>
        <v>7.3300299998663832E-2</v>
      </c>
      <c r="H46" s="10"/>
      <c r="I46" s="5">
        <f t="shared" si="5"/>
        <v>7.3300299998663832E-2</v>
      </c>
      <c r="J46" s="5"/>
      <c r="O46">
        <f t="shared" ca="1" si="3"/>
        <v>3.2055677759486978E-2</v>
      </c>
      <c r="Q46" s="2">
        <f t="shared" si="4"/>
        <v>21884.938000000002</v>
      </c>
    </row>
    <row r="47" spans="1:17" x14ac:dyDescent="0.2">
      <c r="A47" s="58" t="s">
        <v>117</v>
      </c>
      <c r="B47" s="57" t="s">
        <v>38</v>
      </c>
      <c r="C47" s="58">
        <v>37614.476000000002</v>
      </c>
      <c r="D47" s="58" t="s">
        <v>57</v>
      </c>
      <c r="E47">
        <f t="shared" si="0"/>
        <v>2783.0149500277562</v>
      </c>
      <c r="F47">
        <f t="shared" si="1"/>
        <v>2783</v>
      </c>
      <c r="G47">
        <f t="shared" si="2"/>
        <v>5.1603700005216524E-2</v>
      </c>
      <c r="H47" s="10"/>
      <c r="I47" s="5">
        <f t="shared" si="5"/>
        <v>5.1603700005216524E-2</v>
      </c>
      <c r="J47" s="5"/>
      <c r="O47">
        <f t="shared" ca="1" si="3"/>
        <v>2.7685520920302374E-2</v>
      </c>
      <c r="Q47" s="2">
        <f t="shared" si="4"/>
        <v>22595.976000000002</v>
      </c>
    </row>
    <row r="48" spans="1:17" x14ac:dyDescent="0.2">
      <c r="A48" s="58" t="s">
        <v>117</v>
      </c>
      <c r="B48" s="57" t="s">
        <v>38</v>
      </c>
      <c r="C48" s="58">
        <v>37935.497000000003</v>
      </c>
      <c r="D48" s="58" t="s">
        <v>57</v>
      </c>
      <c r="E48">
        <f t="shared" si="0"/>
        <v>2876.0174451996927</v>
      </c>
      <c r="F48">
        <f t="shared" si="1"/>
        <v>2876</v>
      </c>
      <c r="G48">
        <f t="shared" si="2"/>
        <v>6.0216400001081638E-2</v>
      </c>
      <c r="H48" s="10"/>
      <c r="I48" s="5">
        <f t="shared" si="5"/>
        <v>6.0216400001081638E-2</v>
      </c>
      <c r="J48" s="5"/>
      <c r="O48">
        <f t="shared" ca="1" si="3"/>
        <v>2.5712586036592822E-2</v>
      </c>
      <c r="Q48" s="2">
        <f t="shared" si="4"/>
        <v>22916.997000000003</v>
      </c>
    </row>
    <row r="49" spans="1:17" x14ac:dyDescent="0.2">
      <c r="A49" s="58" t="s">
        <v>117</v>
      </c>
      <c r="B49" s="57" t="s">
        <v>38</v>
      </c>
      <c r="C49" s="58">
        <v>38049.303</v>
      </c>
      <c r="D49" s="58" t="s">
        <v>57</v>
      </c>
      <c r="E49">
        <f t="shared" si="0"/>
        <v>2908.9880046507478</v>
      </c>
      <c r="F49">
        <f t="shared" si="1"/>
        <v>2909</v>
      </c>
      <c r="G49">
        <f t="shared" si="2"/>
        <v>-4.14048999955412E-2</v>
      </c>
      <c r="H49" s="10"/>
      <c r="I49" s="5">
        <f t="shared" si="5"/>
        <v>-4.14048999955412E-2</v>
      </c>
      <c r="J49" s="5"/>
      <c r="O49">
        <f t="shared" ca="1" si="3"/>
        <v>2.5012512368179751E-2</v>
      </c>
      <c r="Q49" s="2">
        <f t="shared" si="4"/>
        <v>23030.803</v>
      </c>
    </row>
    <row r="50" spans="1:17" x14ac:dyDescent="0.2">
      <c r="A50" s="58" t="s">
        <v>117</v>
      </c>
      <c r="B50" s="57" t="s">
        <v>38</v>
      </c>
      <c r="C50" s="58">
        <v>38287.510999999999</v>
      </c>
      <c r="D50" s="58" t="s">
        <v>57</v>
      </c>
      <c r="E50">
        <f t="shared" si="0"/>
        <v>2977.9988742509186</v>
      </c>
      <c r="F50">
        <f t="shared" si="1"/>
        <v>2978</v>
      </c>
      <c r="G50">
        <f t="shared" si="2"/>
        <v>-3.8858000043546781E-3</v>
      </c>
      <c r="H50" s="10"/>
      <c r="I50" s="5">
        <f t="shared" si="5"/>
        <v>-3.8858000043546781E-3</v>
      </c>
      <c r="J50" s="5"/>
      <c r="O50">
        <f t="shared" ca="1" si="3"/>
        <v>2.3548721970588798E-2</v>
      </c>
      <c r="Q50" s="2">
        <f t="shared" si="4"/>
        <v>23269.010999999999</v>
      </c>
    </row>
    <row r="51" spans="1:17" x14ac:dyDescent="0.2">
      <c r="A51" s="58" t="s">
        <v>117</v>
      </c>
      <c r="B51" s="57" t="s">
        <v>38</v>
      </c>
      <c r="C51" s="58">
        <v>38325.482000000004</v>
      </c>
      <c r="D51" s="58" t="s">
        <v>57</v>
      </c>
      <c r="E51">
        <f t="shared" si="0"/>
        <v>2988.9993936691935</v>
      </c>
      <c r="F51">
        <f t="shared" si="1"/>
        <v>2989</v>
      </c>
      <c r="G51">
        <f t="shared" si="2"/>
        <v>-2.0928999947500415E-3</v>
      </c>
      <c r="H51" s="10"/>
      <c r="I51" s="5">
        <f t="shared" si="5"/>
        <v>-2.0928999947500415E-3</v>
      </c>
      <c r="J51" s="5"/>
      <c r="O51">
        <f t="shared" ca="1" si="3"/>
        <v>2.331536408111777E-2</v>
      </c>
      <c r="Q51" s="2">
        <f t="shared" si="4"/>
        <v>23306.982000000004</v>
      </c>
    </row>
    <row r="52" spans="1:17" x14ac:dyDescent="0.2">
      <c r="A52" s="58" t="s">
        <v>117</v>
      </c>
      <c r="B52" s="57" t="s">
        <v>38</v>
      </c>
      <c r="C52" s="58">
        <v>38584.506000000001</v>
      </c>
      <c r="D52" s="58" t="s">
        <v>57</v>
      </c>
      <c r="E52">
        <f t="shared" si="0"/>
        <v>3064.0408342896371</v>
      </c>
      <c r="F52">
        <f t="shared" si="1"/>
        <v>3064</v>
      </c>
      <c r="G52">
        <f t="shared" si="2"/>
        <v>0.14094960000511492</v>
      </c>
      <c r="H52" s="10"/>
      <c r="I52" s="5">
        <f t="shared" si="5"/>
        <v>0.14094960000511492</v>
      </c>
      <c r="J52" s="5"/>
      <c r="O52">
        <f t="shared" ca="1" si="3"/>
        <v>2.1724287561997166E-2</v>
      </c>
      <c r="Q52" s="2">
        <f t="shared" si="4"/>
        <v>23566.006000000001</v>
      </c>
    </row>
    <row r="53" spans="1:17" x14ac:dyDescent="0.2">
      <c r="A53" s="58" t="s">
        <v>117</v>
      </c>
      <c r="B53" s="57" t="s">
        <v>38</v>
      </c>
      <c r="C53" s="58">
        <v>38781.243999999999</v>
      </c>
      <c r="D53" s="58" t="s">
        <v>57</v>
      </c>
      <c r="E53">
        <f t="shared" ref="E53:E86" si="6">+(C53-C$7)/C$8</f>
        <v>3121.0374946175789</v>
      </c>
      <c r="F53">
        <f t="shared" ref="F53:F86" si="7">ROUND(2*E53,0)/2</f>
        <v>3121</v>
      </c>
      <c r="G53">
        <f t="shared" ref="G53:G86" si="8">+C53-(C$7+F53*C$8)</f>
        <v>0.12942189999739639</v>
      </c>
      <c r="H53" s="10"/>
      <c r="I53" s="5">
        <f t="shared" si="5"/>
        <v>0.12942189999739639</v>
      </c>
      <c r="J53" s="5"/>
      <c r="O53">
        <f t="shared" ref="O53:O86" ca="1" si="9">+C$11+C$12*F53</f>
        <v>2.0515069407465503E-2</v>
      </c>
      <c r="Q53" s="2">
        <f t="shared" ref="Q53:Q86" si="10">+C53-15018.5</f>
        <v>23762.743999999999</v>
      </c>
    </row>
    <row r="54" spans="1:17" x14ac:dyDescent="0.2">
      <c r="A54" s="58" t="s">
        <v>117</v>
      </c>
      <c r="B54" s="57" t="s">
        <v>38</v>
      </c>
      <c r="C54" s="58">
        <v>38998.54</v>
      </c>
      <c r="D54" s="58" t="s">
        <v>57</v>
      </c>
      <c r="E54">
        <f t="shared" si="6"/>
        <v>3183.9899811866235</v>
      </c>
      <c r="F54">
        <f t="shared" si="7"/>
        <v>3184</v>
      </c>
      <c r="G54">
        <f t="shared" si="8"/>
        <v>-3.4582399995997548E-2</v>
      </c>
      <c r="H54" s="10"/>
      <c r="I54" s="5">
        <f t="shared" ref="I54:I71" si="11">G54</f>
        <v>-3.4582399995997548E-2</v>
      </c>
      <c r="J54" s="5"/>
      <c r="O54">
        <f t="shared" ca="1" si="9"/>
        <v>1.9178565131404188E-2</v>
      </c>
      <c r="Q54" s="2">
        <f t="shared" si="10"/>
        <v>23980.04</v>
      </c>
    </row>
    <row r="55" spans="1:17" x14ac:dyDescent="0.2">
      <c r="A55" s="58" t="s">
        <v>117</v>
      </c>
      <c r="B55" s="57" t="s">
        <v>38</v>
      </c>
      <c r="C55" s="58">
        <v>39029.565999999999</v>
      </c>
      <c r="D55" s="58" t="s">
        <v>57</v>
      </c>
      <c r="E55">
        <f t="shared" si="6"/>
        <v>3192.978475444645</v>
      </c>
      <c r="F55">
        <f t="shared" si="7"/>
        <v>3193</v>
      </c>
      <c r="G55">
        <f t="shared" si="8"/>
        <v>-7.429730000148993E-2</v>
      </c>
      <c r="H55" s="10"/>
      <c r="I55" s="5">
        <f t="shared" si="11"/>
        <v>-7.429730000148993E-2</v>
      </c>
      <c r="J55" s="5"/>
      <c r="O55">
        <f t="shared" ca="1" si="9"/>
        <v>1.898763594910971E-2</v>
      </c>
      <c r="Q55" s="2">
        <f t="shared" si="10"/>
        <v>24011.065999999999</v>
      </c>
    </row>
    <row r="56" spans="1:17" x14ac:dyDescent="0.2">
      <c r="A56" s="58" t="s">
        <v>117</v>
      </c>
      <c r="B56" s="57" t="s">
        <v>38</v>
      </c>
      <c r="C56" s="58">
        <v>39057.345999999998</v>
      </c>
      <c r="D56" s="58" t="s">
        <v>57</v>
      </c>
      <c r="E56">
        <f t="shared" si="6"/>
        <v>3201.0265760856505</v>
      </c>
      <c r="F56">
        <f t="shared" si="7"/>
        <v>3201</v>
      </c>
      <c r="G56">
        <f t="shared" si="8"/>
        <v>9.1733900000690483E-2</v>
      </c>
      <c r="H56" s="10"/>
      <c r="I56" s="5">
        <f t="shared" si="11"/>
        <v>9.1733900000690483E-2</v>
      </c>
      <c r="J56" s="5"/>
      <c r="O56">
        <f t="shared" ca="1" si="9"/>
        <v>1.8817921120403522E-2</v>
      </c>
      <c r="Q56" s="2">
        <f t="shared" si="10"/>
        <v>24038.845999999998</v>
      </c>
    </row>
    <row r="57" spans="1:17" x14ac:dyDescent="0.2">
      <c r="A57" s="58" t="s">
        <v>117</v>
      </c>
      <c r="B57" s="57" t="s">
        <v>38</v>
      </c>
      <c r="C57" s="58">
        <v>39088.256000000001</v>
      </c>
      <c r="D57" s="58" t="s">
        <v>57</v>
      </c>
      <c r="E57">
        <f t="shared" si="6"/>
        <v>3209.9814641638914</v>
      </c>
      <c r="F57">
        <f t="shared" si="7"/>
        <v>3210</v>
      </c>
      <c r="G57">
        <f t="shared" si="8"/>
        <v>-6.3980999999330379E-2</v>
      </c>
      <c r="H57" s="10"/>
      <c r="I57" s="5">
        <f t="shared" si="11"/>
        <v>-6.3980999999330379E-2</v>
      </c>
      <c r="J57" s="5"/>
      <c r="O57">
        <f t="shared" ca="1" si="9"/>
        <v>1.8626991938109044E-2</v>
      </c>
      <c r="Q57" s="2">
        <f t="shared" si="10"/>
        <v>24069.756000000001</v>
      </c>
    </row>
    <row r="58" spans="1:17" x14ac:dyDescent="0.2">
      <c r="A58" s="58" t="s">
        <v>117</v>
      </c>
      <c r="B58" s="57" t="s">
        <v>38</v>
      </c>
      <c r="C58" s="58">
        <v>39233.355000000003</v>
      </c>
      <c r="D58" s="58" t="s">
        <v>57</v>
      </c>
      <c r="E58">
        <f t="shared" si="6"/>
        <v>3252.0178700281585</v>
      </c>
      <c r="F58">
        <f t="shared" si="7"/>
        <v>3252</v>
      </c>
      <c r="G58">
        <f t="shared" si="8"/>
        <v>6.1682800005655736E-2</v>
      </c>
      <c r="H58" s="10"/>
      <c r="I58" s="5">
        <f t="shared" si="11"/>
        <v>6.1682800005655736E-2</v>
      </c>
      <c r="J58" s="5"/>
      <c r="O58">
        <f t="shared" ca="1" si="9"/>
        <v>1.773598908740151E-2</v>
      </c>
      <c r="Q58" s="2">
        <f t="shared" si="10"/>
        <v>24214.855000000003</v>
      </c>
    </row>
    <row r="59" spans="1:17" x14ac:dyDescent="0.2">
      <c r="A59" s="58" t="s">
        <v>117</v>
      </c>
      <c r="B59" s="57" t="s">
        <v>38</v>
      </c>
      <c r="C59" s="58">
        <v>40151.375999999997</v>
      </c>
      <c r="D59" s="58" t="s">
        <v>57</v>
      </c>
      <c r="E59">
        <f t="shared" si="6"/>
        <v>3517.9763077011944</v>
      </c>
      <c r="F59">
        <f t="shared" si="7"/>
        <v>3518</v>
      </c>
      <c r="G59">
        <f t="shared" si="8"/>
        <v>-8.1779799998912495E-2</v>
      </c>
      <c r="H59" s="10"/>
      <c r="I59" s="5">
        <f t="shared" si="11"/>
        <v>-8.1779799998912495E-2</v>
      </c>
      <c r="J59" s="5"/>
      <c r="O59">
        <f t="shared" ca="1" si="9"/>
        <v>1.209297103292041E-2</v>
      </c>
      <c r="Q59" s="2">
        <f t="shared" si="10"/>
        <v>25132.875999999997</v>
      </c>
    </row>
    <row r="60" spans="1:17" x14ac:dyDescent="0.2">
      <c r="A60" s="58" t="s">
        <v>117</v>
      </c>
      <c r="B60" s="57" t="s">
        <v>38</v>
      </c>
      <c r="C60" s="58">
        <v>40824.463000000003</v>
      </c>
      <c r="D60" s="58" t="s">
        <v>57</v>
      </c>
      <c r="E60">
        <f t="shared" si="6"/>
        <v>3712.9752967635723</v>
      </c>
      <c r="F60">
        <f t="shared" si="7"/>
        <v>3713</v>
      </c>
      <c r="G60">
        <f t="shared" si="8"/>
        <v>-8.5269299997889902E-2</v>
      </c>
      <c r="H60" s="10"/>
      <c r="I60" s="5">
        <f t="shared" si="11"/>
        <v>-8.5269299997889902E-2</v>
      </c>
      <c r="J60" s="5"/>
      <c r="O60">
        <f t="shared" ca="1" si="9"/>
        <v>7.9561720832068278E-3</v>
      </c>
      <c r="Q60" s="2">
        <f t="shared" si="10"/>
        <v>25805.963000000003</v>
      </c>
    </row>
    <row r="61" spans="1:17" x14ac:dyDescent="0.2">
      <c r="A61" s="58" t="s">
        <v>117</v>
      </c>
      <c r="B61" s="57" t="s">
        <v>38</v>
      </c>
      <c r="C61" s="58">
        <v>40831.527999999998</v>
      </c>
      <c r="D61" s="58" t="s">
        <v>57</v>
      </c>
      <c r="E61">
        <f t="shared" si="6"/>
        <v>3715.0220869373907</v>
      </c>
      <c r="F61">
        <f t="shared" si="7"/>
        <v>3715</v>
      </c>
      <c r="G61">
        <f t="shared" si="8"/>
        <v>7.6238499997998588E-2</v>
      </c>
      <c r="H61" s="10"/>
      <c r="I61" s="5">
        <f t="shared" si="11"/>
        <v>7.6238499997998588E-2</v>
      </c>
      <c r="J61" s="5"/>
      <c r="O61">
        <f t="shared" ca="1" si="9"/>
        <v>7.9137433760302772E-3</v>
      </c>
      <c r="Q61" s="2">
        <f t="shared" si="10"/>
        <v>25813.027999999998</v>
      </c>
    </row>
    <row r="62" spans="1:17" x14ac:dyDescent="0.2">
      <c r="A62" s="58" t="s">
        <v>117</v>
      </c>
      <c r="B62" s="57" t="s">
        <v>38</v>
      </c>
      <c r="C62" s="58">
        <v>40862.347000000002</v>
      </c>
      <c r="D62" s="58" t="s">
        <v>57</v>
      </c>
      <c r="E62">
        <f t="shared" si="6"/>
        <v>3723.9506115470085</v>
      </c>
      <c r="F62">
        <f t="shared" si="7"/>
        <v>3724</v>
      </c>
      <c r="G62">
        <f t="shared" si="8"/>
        <v>-0.17047639999509556</v>
      </c>
      <c r="H62" s="10"/>
      <c r="I62" s="5">
        <f t="shared" si="11"/>
        <v>-0.17047639999509556</v>
      </c>
      <c r="J62" s="5"/>
      <c r="O62">
        <f t="shared" ca="1" si="9"/>
        <v>7.7228141937358136E-3</v>
      </c>
      <c r="Q62" s="2">
        <f t="shared" si="10"/>
        <v>25843.847000000002</v>
      </c>
    </row>
    <row r="63" spans="1:17" x14ac:dyDescent="0.2">
      <c r="A63" s="58" t="s">
        <v>117</v>
      </c>
      <c r="B63" s="57" t="s">
        <v>38</v>
      </c>
      <c r="C63" s="58">
        <v>41183.410000000003</v>
      </c>
      <c r="D63" s="58" t="s">
        <v>57</v>
      </c>
      <c r="E63">
        <f t="shared" si="6"/>
        <v>3816.9652744736945</v>
      </c>
      <c r="F63">
        <f t="shared" si="7"/>
        <v>3817</v>
      </c>
      <c r="G63">
        <f t="shared" si="8"/>
        <v>-0.11986369999794988</v>
      </c>
      <c r="H63" s="10"/>
      <c r="I63" s="5">
        <f t="shared" si="11"/>
        <v>-0.11986369999794988</v>
      </c>
      <c r="J63" s="5"/>
      <c r="O63">
        <f t="shared" ca="1" si="9"/>
        <v>5.7498793100262541E-3</v>
      </c>
      <c r="Q63" s="2">
        <f t="shared" si="10"/>
        <v>26164.910000000003</v>
      </c>
    </row>
    <row r="64" spans="1:17" x14ac:dyDescent="0.2">
      <c r="A64" s="58" t="s">
        <v>117</v>
      </c>
      <c r="B64" s="57" t="s">
        <v>38</v>
      </c>
      <c r="C64" s="58">
        <v>41197.33</v>
      </c>
      <c r="D64" s="58" t="s">
        <v>57</v>
      </c>
      <c r="E64">
        <f t="shared" si="6"/>
        <v>3820.9980160475889</v>
      </c>
      <c r="F64">
        <f t="shared" si="7"/>
        <v>3821</v>
      </c>
      <c r="G64">
        <f t="shared" si="8"/>
        <v>-6.8480999980238266E-3</v>
      </c>
      <c r="H64" s="10"/>
      <c r="I64" s="5">
        <f t="shared" si="11"/>
        <v>-6.8480999980238266E-3</v>
      </c>
      <c r="J64" s="5"/>
      <c r="O64">
        <f t="shared" ca="1" si="9"/>
        <v>5.665021895673153E-3</v>
      </c>
      <c r="Q64" s="2">
        <f t="shared" si="10"/>
        <v>26178.83</v>
      </c>
    </row>
    <row r="65" spans="1:17" x14ac:dyDescent="0.2">
      <c r="A65" s="58" t="s">
        <v>117</v>
      </c>
      <c r="B65" s="57" t="s">
        <v>38</v>
      </c>
      <c r="C65" s="58">
        <v>41252.39</v>
      </c>
      <c r="D65" s="58" t="s">
        <v>57</v>
      </c>
      <c r="E65">
        <f t="shared" si="6"/>
        <v>3836.9493631064001</v>
      </c>
      <c r="F65">
        <f t="shared" si="7"/>
        <v>3837</v>
      </c>
      <c r="G65">
        <f t="shared" si="8"/>
        <v>-0.17478570000093896</v>
      </c>
      <c r="H65" s="10"/>
      <c r="I65" s="5">
        <f t="shared" si="11"/>
        <v>-0.17478570000093896</v>
      </c>
      <c r="J65" s="5"/>
      <c r="O65">
        <f t="shared" ca="1" si="9"/>
        <v>5.3255922382607623E-3</v>
      </c>
      <c r="Q65" s="2">
        <f t="shared" si="10"/>
        <v>26233.89</v>
      </c>
    </row>
    <row r="66" spans="1:17" x14ac:dyDescent="0.2">
      <c r="A66" s="58" t="s">
        <v>117</v>
      </c>
      <c r="B66" s="57" t="s">
        <v>38</v>
      </c>
      <c r="C66" s="58">
        <v>41266.389000000003</v>
      </c>
      <c r="D66" s="58" t="s">
        <v>57</v>
      </c>
      <c r="E66">
        <f t="shared" si="6"/>
        <v>3841.0049916475618</v>
      </c>
      <c r="F66">
        <f t="shared" si="7"/>
        <v>3841</v>
      </c>
      <c r="G66">
        <f t="shared" si="8"/>
        <v>1.7229900004167575E-2</v>
      </c>
      <c r="H66" s="10"/>
      <c r="I66" s="5">
        <f t="shared" si="11"/>
        <v>1.7229900004167575E-2</v>
      </c>
      <c r="J66" s="5"/>
      <c r="O66">
        <f t="shared" ca="1" si="9"/>
        <v>5.2407348239076612E-3</v>
      </c>
      <c r="Q66" s="2">
        <f t="shared" si="10"/>
        <v>26247.889000000003</v>
      </c>
    </row>
    <row r="67" spans="1:17" x14ac:dyDescent="0.2">
      <c r="A67" s="58" t="s">
        <v>117</v>
      </c>
      <c r="B67" s="57" t="s">
        <v>38</v>
      </c>
      <c r="C67" s="58">
        <v>41335.341</v>
      </c>
      <c r="D67" s="58" t="s">
        <v>57</v>
      </c>
      <c r="E67">
        <f t="shared" si="6"/>
        <v>3860.9809684437687</v>
      </c>
      <c r="F67">
        <f t="shared" si="7"/>
        <v>3861</v>
      </c>
      <c r="G67">
        <f t="shared" si="8"/>
        <v>-6.5692099997249898E-2</v>
      </c>
      <c r="H67" s="10"/>
      <c r="I67" s="5">
        <f t="shared" si="11"/>
        <v>-6.5692099997249898E-2</v>
      </c>
      <c r="J67" s="5"/>
      <c r="O67">
        <f t="shared" ca="1" si="9"/>
        <v>4.8164477521421695E-3</v>
      </c>
      <c r="Q67" s="2">
        <f t="shared" si="10"/>
        <v>26316.841</v>
      </c>
    </row>
    <row r="68" spans="1:17" x14ac:dyDescent="0.2">
      <c r="A68" s="58" t="s">
        <v>117</v>
      </c>
      <c r="B68" s="57" t="s">
        <v>38</v>
      </c>
      <c r="C68" s="58">
        <v>41573.512000000002</v>
      </c>
      <c r="D68" s="58" t="s">
        <v>57</v>
      </c>
      <c r="E68">
        <f t="shared" si="6"/>
        <v>3929.9811188314238</v>
      </c>
      <c r="F68">
        <f t="shared" si="7"/>
        <v>3930</v>
      </c>
      <c r="G68">
        <f t="shared" si="8"/>
        <v>-6.5172999995411374E-2</v>
      </c>
      <c r="H68" s="10"/>
      <c r="I68" s="5">
        <f t="shared" si="11"/>
        <v>-6.5172999995411374E-2</v>
      </c>
      <c r="J68" s="5"/>
      <c r="O68">
        <f t="shared" ca="1" si="9"/>
        <v>3.3526573545512028E-3</v>
      </c>
      <c r="Q68" s="2">
        <f t="shared" si="10"/>
        <v>26555.012000000002</v>
      </c>
    </row>
    <row r="69" spans="1:17" x14ac:dyDescent="0.2">
      <c r="A69" s="58" t="s">
        <v>117</v>
      </c>
      <c r="B69" s="57" t="s">
        <v>38</v>
      </c>
      <c r="C69" s="58">
        <v>41932.574000000001</v>
      </c>
      <c r="D69" s="58" t="s">
        <v>57</v>
      </c>
      <c r="E69">
        <f t="shared" si="6"/>
        <v>4034.0044130128808</v>
      </c>
      <c r="F69">
        <f t="shared" si="7"/>
        <v>4034</v>
      </c>
      <c r="G69">
        <f t="shared" si="8"/>
        <v>1.5232600002491381E-2</v>
      </c>
      <c r="H69" s="10"/>
      <c r="I69" s="5">
        <f t="shared" si="11"/>
        <v>1.5232600002491381E-2</v>
      </c>
      <c r="J69" s="5"/>
      <c r="O69">
        <f t="shared" ca="1" si="9"/>
        <v>1.1463645813706291E-3</v>
      </c>
      <c r="Q69" s="2">
        <f t="shared" si="10"/>
        <v>26914.074000000001</v>
      </c>
    </row>
    <row r="70" spans="1:17" x14ac:dyDescent="0.2">
      <c r="A70" s="58" t="s">
        <v>205</v>
      </c>
      <c r="B70" s="57" t="s">
        <v>38</v>
      </c>
      <c r="C70" s="58">
        <v>43482.358999999997</v>
      </c>
      <c r="D70" s="58" t="s">
        <v>57</v>
      </c>
      <c r="E70">
        <f t="shared" si="6"/>
        <v>4482.9902176176856</v>
      </c>
      <c r="F70">
        <f t="shared" si="7"/>
        <v>4483</v>
      </c>
      <c r="G70">
        <f t="shared" si="8"/>
        <v>-3.3766300002753269E-2</v>
      </c>
      <c r="H70" s="10"/>
      <c r="I70" s="5">
        <f t="shared" si="11"/>
        <v>-3.3766300002753269E-2</v>
      </c>
      <c r="J70" s="5"/>
      <c r="O70">
        <f t="shared" ca="1" si="9"/>
        <v>-8.37888017976475E-3</v>
      </c>
      <c r="Q70" s="2">
        <f t="shared" si="10"/>
        <v>28463.858999999997</v>
      </c>
    </row>
    <row r="71" spans="1:17" x14ac:dyDescent="0.2">
      <c r="A71" s="58" t="s">
        <v>205</v>
      </c>
      <c r="B71" s="57" t="s">
        <v>38</v>
      </c>
      <c r="C71" s="58">
        <v>43489.275000000001</v>
      </c>
      <c r="D71" s="58" t="s">
        <v>57</v>
      </c>
      <c r="E71">
        <f t="shared" si="6"/>
        <v>4484.993841232993</v>
      </c>
      <c r="F71">
        <f t="shared" si="7"/>
        <v>4485</v>
      </c>
      <c r="G71">
        <f t="shared" si="8"/>
        <v>-2.1258499997202307E-2</v>
      </c>
      <c r="H71" s="10"/>
      <c r="I71" s="5">
        <f t="shared" si="11"/>
        <v>-2.1258499997202307E-2</v>
      </c>
      <c r="J71" s="5"/>
      <c r="O71">
        <f t="shared" ca="1" si="9"/>
        <v>-8.4213088869413005E-3</v>
      </c>
      <c r="Q71" s="2">
        <f t="shared" si="10"/>
        <v>28470.775000000001</v>
      </c>
    </row>
    <row r="72" spans="1:17" x14ac:dyDescent="0.2">
      <c r="A72" s="12" t="s">
        <v>27</v>
      </c>
      <c r="B72" s="11"/>
      <c r="C72" s="10">
        <v>51925.301599999999</v>
      </c>
      <c r="D72" s="10">
        <v>6.9999999999999999E-4</v>
      </c>
      <c r="E72">
        <f t="shared" si="6"/>
        <v>6928.9820013123217</v>
      </c>
      <c r="F72">
        <f t="shared" si="7"/>
        <v>6929</v>
      </c>
      <c r="G72">
        <f t="shared" si="8"/>
        <v>-6.2126900003931951E-2</v>
      </c>
      <c r="H72" s="10"/>
      <c r="J72" s="5">
        <f t="shared" ref="J72:J78" si="12">G72</f>
        <v>-6.2126900003931951E-2</v>
      </c>
      <c r="O72">
        <f t="shared" ca="1" si="9"/>
        <v>-6.0269189056684852E-2</v>
      </c>
      <c r="Q72" s="2">
        <f t="shared" si="10"/>
        <v>36906.801599999999</v>
      </c>
    </row>
    <row r="73" spans="1:17" x14ac:dyDescent="0.2">
      <c r="A73" s="12" t="s">
        <v>27</v>
      </c>
      <c r="B73" s="11"/>
      <c r="C73" s="10">
        <v>52194.535100000001</v>
      </c>
      <c r="D73" s="10">
        <v>4.0000000000000001E-3</v>
      </c>
      <c r="E73">
        <f t="shared" si="6"/>
        <v>7006.9812203162919</v>
      </c>
      <c r="F73">
        <f t="shared" si="7"/>
        <v>7007</v>
      </c>
      <c r="G73">
        <f t="shared" si="8"/>
        <v>-6.4822699998330791E-2</v>
      </c>
      <c r="H73" s="10"/>
      <c r="J73" s="5">
        <f t="shared" si="12"/>
        <v>-6.4822699998330791E-2</v>
      </c>
      <c r="O73">
        <f t="shared" ca="1" si="9"/>
        <v>-6.1923908636570296E-2</v>
      </c>
      <c r="Q73" s="2">
        <f t="shared" si="10"/>
        <v>37176.035100000001</v>
      </c>
    </row>
    <row r="74" spans="1:17" x14ac:dyDescent="0.2">
      <c r="A74" t="s">
        <v>26</v>
      </c>
      <c r="B74" s="10"/>
      <c r="C74" s="10">
        <v>52484.486799999999</v>
      </c>
      <c r="D74" s="10">
        <v>1.9E-3</v>
      </c>
      <c r="E74">
        <f t="shared" si="6"/>
        <v>7090.9826768544763</v>
      </c>
      <c r="F74">
        <f t="shared" si="7"/>
        <v>7091</v>
      </c>
      <c r="G74">
        <f t="shared" si="8"/>
        <v>-5.9795100001792889E-2</v>
      </c>
      <c r="H74" s="10"/>
      <c r="J74" s="5">
        <f t="shared" si="12"/>
        <v>-5.9795100001792889E-2</v>
      </c>
      <c r="O74">
        <f t="shared" ca="1" si="9"/>
        <v>-6.3705914337985364E-2</v>
      </c>
      <c r="Q74" s="2">
        <f t="shared" si="10"/>
        <v>37465.986799999999</v>
      </c>
    </row>
    <row r="75" spans="1:17" x14ac:dyDescent="0.2">
      <c r="A75" t="s">
        <v>26</v>
      </c>
      <c r="B75" s="11"/>
      <c r="C75" s="10">
        <v>52567.330499999996</v>
      </c>
      <c r="D75" s="10">
        <v>3.3E-3</v>
      </c>
      <c r="E75">
        <f t="shared" si="6"/>
        <v>7114.9831964755458</v>
      </c>
      <c r="F75">
        <f t="shared" si="7"/>
        <v>7115</v>
      </c>
      <c r="G75">
        <f t="shared" si="8"/>
        <v>-5.8001500001410022E-2</v>
      </c>
      <c r="H75" s="10"/>
      <c r="J75" s="5">
        <f t="shared" si="12"/>
        <v>-5.8001500001410022E-2</v>
      </c>
      <c r="O75">
        <f t="shared" ca="1" si="9"/>
        <v>-6.4215058824103971E-2</v>
      </c>
      <c r="Q75" s="2">
        <f t="shared" si="10"/>
        <v>37548.830499999996</v>
      </c>
    </row>
    <row r="76" spans="1:17" x14ac:dyDescent="0.2">
      <c r="A76" s="13" t="s">
        <v>28</v>
      </c>
      <c r="B76" s="11"/>
      <c r="C76" s="10">
        <v>52874.522499999999</v>
      </c>
      <c r="D76" s="10">
        <v>3.0000000000000001E-3</v>
      </c>
      <c r="E76">
        <f t="shared" si="6"/>
        <v>7203.9793135422096</v>
      </c>
      <c r="F76">
        <f t="shared" si="7"/>
        <v>7204</v>
      </c>
      <c r="G76">
        <f t="shared" si="8"/>
        <v>-7.1404399997845758E-2</v>
      </c>
      <c r="H76" s="10"/>
      <c r="J76" s="5">
        <f t="shared" si="12"/>
        <v>-7.1404399997845758E-2</v>
      </c>
      <c r="O76">
        <f t="shared" ca="1" si="9"/>
        <v>-6.6103136293460429E-2</v>
      </c>
      <c r="Q76" s="2">
        <f t="shared" si="10"/>
        <v>37856.022499999999</v>
      </c>
    </row>
    <row r="77" spans="1:17" x14ac:dyDescent="0.2">
      <c r="A77" s="33" t="s">
        <v>28</v>
      </c>
      <c r="B77" s="34"/>
      <c r="C77" s="35">
        <v>52981.53</v>
      </c>
      <c r="D77" s="35">
        <v>6.8999999999999999E-3</v>
      </c>
      <c r="E77">
        <f t="shared" si="6"/>
        <v>7234.9802901204121</v>
      </c>
      <c r="F77">
        <f t="shared" si="7"/>
        <v>7235</v>
      </c>
      <c r="G77">
        <f t="shared" si="8"/>
        <v>-6.8033499999728519E-2</v>
      </c>
      <c r="H77" s="10"/>
      <c r="J77" s="5">
        <f t="shared" si="12"/>
        <v>-6.8033499999728519E-2</v>
      </c>
      <c r="O77">
        <f t="shared" ca="1" si="9"/>
        <v>-6.6760781254696949E-2</v>
      </c>
      <c r="Q77" s="2">
        <f t="shared" si="10"/>
        <v>37963.03</v>
      </c>
    </row>
    <row r="78" spans="1:17" x14ac:dyDescent="0.2">
      <c r="A78" s="15" t="s">
        <v>37</v>
      </c>
      <c r="B78" s="36" t="s">
        <v>38</v>
      </c>
      <c r="C78" s="35">
        <v>54096.445</v>
      </c>
      <c r="D78" s="35">
        <v>1.9E-3</v>
      </c>
      <c r="E78">
        <f t="shared" si="6"/>
        <v>7557.9805826390302</v>
      </c>
      <c r="F78">
        <f t="shared" si="7"/>
        <v>7558</v>
      </c>
      <c r="G78">
        <f t="shared" si="8"/>
        <v>-6.7023799994785804E-2</v>
      </c>
      <c r="H78" s="10"/>
      <c r="J78" s="5">
        <f t="shared" si="12"/>
        <v>-6.7023799994785804E-2</v>
      </c>
      <c r="O78">
        <f t="shared" ca="1" si="9"/>
        <v>-7.3613017463709685E-2</v>
      </c>
      <c r="Q78" s="2">
        <f t="shared" si="10"/>
        <v>39077.945</v>
      </c>
    </row>
    <row r="79" spans="1:17" x14ac:dyDescent="0.2">
      <c r="A79" s="58" t="s">
        <v>247</v>
      </c>
      <c r="B79" s="57" t="s">
        <v>38</v>
      </c>
      <c r="C79" s="58">
        <v>54776.427799999998</v>
      </c>
      <c r="D79" s="58" t="s">
        <v>57</v>
      </c>
      <c r="E79">
        <f t="shared" si="6"/>
        <v>7754.9773432060947</v>
      </c>
      <c r="F79">
        <f t="shared" si="7"/>
        <v>7755</v>
      </c>
      <c r="G79">
        <f t="shared" si="8"/>
        <v>-7.8205500001786277E-2</v>
      </c>
      <c r="H79" s="10"/>
      <c r="J79" s="5"/>
      <c r="K79" s="5">
        <f>G79</f>
        <v>-7.8205500001786277E-2</v>
      </c>
      <c r="O79">
        <f t="shared" ca="1" si="9"/>
        <v>-7.7792245120599818E-2</v>
      </c>
      <c r="Q79" s="2">
        <f t="shared" si="10"/>
        <v>39757.927799999998</v>
      </c>
    </row>
    <row r="80" spans="1:17" x14ac:dyDescent="0.2">
      <c r="A80" s="37" t="s">
        <v>40</v>
      </c>
      <c r="B80" s="38" t="s">
        <v>38</v>
      </c>
      <c r="C80" s="35">
        <v>54800.5942</v>
      </c>
      <c r="D80" s="35">
        <v>1.1000000000000001E-3</v>
      </c>
      <c r="E80">
        <f t="shared" si="6"/>
        <v>7761.978553405188</v>
      </c>
      <c r="F80">
        <f t="shared" si="7"/>
        <v>7762</v>
      </c>
      <c r="G80">
        <f t="shared" si="8"/>
        <v>-7.4028199996973854E-2</v>
      </c>
      <c r="H80" s="10"/>
      <c r="K80" s="5">
        <f>G80</f>
        <v>-7.4028199996973854E-2</v>
      </c>
      <c r="O80">
        <f t="shared" ca="1" si="9"/>
        <v>-7.7940745595717759E-2</v>
      </c>
      <c r="Q80" s="2">
        <f t="shared" si="10"/>
        <v>39782.0942</v>
      </c>
    </row>
    <row r="81" spans="1:17" x14ac:dyDescent="0.2">
      <c r="A81" s="39" t="s">
        <v>41</v>
      </c>
      <c r="B81" s="40" t="s">
        <v>38</v>
      </c>
      <c r="C81" s="39">
        <v>55100.886899999998</v>
      </c>
      <c r="D81" s="39">
        <v>8.9999999999999998E-4</v>
      </c>
      <c r="E81">
        <f t="shared" si="6"/>
        <v>7848.9758849876007</v>
      </c>
      <c r="F81">
        <f t="shared" si="7"/>
        <v>7849</v>
      </c>
      <c r="G81">
        <f t="shared" si="8"/>
        <v>-8.3238899998832494E-2</v>
      </c>
      <c r="H81" s="10"/>
      <c r="K81" s="5">
        <f>G81</f>
        <v>-8.3238899998832494E-2</v>
      </c>
      <c r="O81">
        <f t="shared" ca="1" si="9"/>
        <v>-7.9786394357897666E-2</v>
      </c>
      <c r="Q81" s="2">
        <f t="shared" si="10"/>
        <v>40082.386899999998</v>
      </c>
    </row>
    <row r="82" spans="1:17" x14ac:dyDescent="0.2">
      <c r="A82" s="58" t="s">
        <v>264</v>
      </c>
      <c r="B82" s="57" t="s">
        <v>38</v>
      </c>
      <c r="C82" s="58">
        <v>55884.436199999996</v>
      </c>
      <c r="D82" s="58" t="s">
        <v>57</v>
      </c>
      <c r="E82">
        <f t="shared" si="6"/>
        <v>8075.976735368803</v>
      </c>
      <c r="F82">
        <f t="shared" si="7"/>
        <v>8076</v>
      </c>
      <c r="G82">
        <f t="shared" si="8"/>
        <v>-8.0303599999751896E-2</v>
      </c>
      <c r="H82" s="10"/>
      <c r="J82" s="5"/>
      <c r="K82" s="5">
        <f>G82</f>
        <v>-8.0303599999751896E-2</v>
      </c>
      <c r="O82">
        <f t="shared" ca="1" si="9"/>
        <v>-8.460205262243603E-2</v>
      </c>
      <c r="Q82" s="2">
        <f t="shared" si="10"/>
        <v>40865.936199999996</v>
      </c>
    </row>
    <row r="83" spans="1:17" x14ac:dyDescent="0.2">
      <c r="A83" s="15" t="s">
        <v>44</v>
      </c>
      <c r="B83" s="38" t="s">
        <v>38</v>
      </c>
      <c r="C83" s="35">
        <v>56167.471700000002</v>
      </c>
      <c r="D83" s="35">
        <v>1.12E-2</v>
      </c>
      <c r="E83">
        <f t="shared" si="6"/>
        <v>8157.9745103499945</v>
      </c>
      <c r="F83">
        <f t="shared" si="7"/>
        <v>8158</v>
      </c>
      <c r="G83">
        <f t="shared" si="8"/>
        <v>-8.7983799996436574E-2</v>
      </c>
      <c r="H83" s="10"/>
      <c r="J83" s="5">
        <f>G83</f>
        <v>-8.7983799996436574E-2</v>
      </c>
      <c r="O83">
        <f t="shared" ca="1" si="9"/>
        <v>-8.6341629616674576E-2</v>
      </c>
      <c r="Q83" s="2">
        <f t="shared" si="10"/>
        <v>41148.971700000002</v>
      </c>
    </row>
    <row r="84" spans="1:17" x14ac:dyDescent="0.2">
      <c r="A84" s="34" t="s">
        <v>45</v>
      </c>
      <c r="B84" s="36" t="s">
        <v>38</v>
      </c>
      <c r="C84" s="35">
        <v>56526.453200000004</v>
      </c>
      <c r="D84" s="42">
        <v>2.8E-3</v>
      </c>
      <c r="E84">
        <f t="shared" si="6"/>
        <v>8261.974483001517</v>
      </c>
      <c r="F84">
        <f t="shared" si="7"/>
        <v>8262</v>
      </c>
      <c r="G84">
        <f t="shared" si="8"/>
        <v>-8.8078199994924944E-2</v>
      </c>
      <c r="H84" s="10"/>
      <c r="J84" s="5">
        <f>G84</f>
        <v>-8.8078199994924944E-2</v>
      </c>
      <c r="O84">
        <f t="shared" ca="1" si="9"/>
        <v>-8.8547922389855149E-2</v>
      </c>
      <c r="Q84" s="2">
        <f t="shared" si="10"/>
        <v>41507.953200000004</v>
      </c>
    </row>
    <row r="85" spans="1:17" x14ac:dyDescent="0.2">
      <c r="A85" s="41" t="s">
        <v>46</v>
      </c>
      <c r="B85" s="43"/>
      <c r="C85" s="41">
        <v>56916.482100000001</v>
      </c>
      <c r="D85" s="41">
        <v>1.09E-2</v>
      </c>
      <c r="E85">
        <f t="shared" si="6"/>
        <v>8374.9691496718151</v>
      </c>
      <c r="F85">
        <f t="shared" si="7"/>
        <v>8375</v>
      </c>
      <c r="G85">
        <f t="shared" si="8"/>
        <v>-0.10648749999381835</v>
      </c>
      <c r="H85" s="10"/>
      <c r="J85" s="5">
        <f>G85</f>
        <v>-0.10648749999381835</v>
      </c>
      <c r="O85">
        <f t="shared" ca="1" si="9"/>
        <v>-9.0945144345330187E-2</v>
      </c>
      <c r="Q85" s="2">
        <f t="shared" si="10"/>
        <v>41897.982100000001</v>
      </c>
    </row>
    <row r="86" spans="1:17" x14ac:dyDescent="0.2">
      <c r="A86" s="59" t="s">
        <v>0</v>
      </c>
      <c r="B86" s="60" t="s">
        <v>38</v>
      </c>
      <c r="C86" s="61">
        <v>57275.476900000001</v>
      </c>
      <c r="D86" s="61">
        <v>6.0000000000000001E-3</v>
      </c>
      <c r="E86">
        <f t="shared" si="6"/>
        <v>8478.9729754456748</v>
      </c>
      <c r="F86">
        <f t="shared" si="7"/>
        <v>8479</v>
      </c>
      <c r="G86">
        <f t="shared" si="8"/>
        <v>-9.3281899993598927E-2</v>
      </c>
      <c r="H86" s="10"/>
      <c r="K86" s="5">
        <f>G86</f>
        <v>-9.3281899993598927E-2</v>
      </c>
      <c r="O86">
        <f t="shared" ca="1" si="9"/>
        <v>-9.315143711851076E-2</v>
      </c>
      <c r="Q86" s="2">
        <f t="shared" si="10"/>
        <v>42256.976900000001</v>
      </c>
    </row>
    <row r="87" spans="1:17" x14ac:dyDescent="0.2">
      <c r="A87" s="62" t="s">
        <v>283</v>
      </c>
      <c r="B87" s="63" t="s">
        <v>38</v>
      </c>
      <c r="C87" s="64">
        <v>59460.425999999999</v>
      </c>
      <c r="D87" s="65">
        <v>1.5E-3</v>
      </c>
      <c r="E87">
        <f t="shared" ref="E87" si="13">+(C87-C$7)/C$8</f>
        <v>9111.9711846708542</v>
      </c>
      <c r="F87">
        <f t="shared" ref="F87" si="14">ROUND(2*E87,0)/2</f>
        <v>9112</v>
      </c>
      <c r="G87">
        <f t="shared" ref="G87" si="15">+C87-(C$7+F87*C$8)</f>
        <v>-9.9463200000172947E-2</v>
      </c>
      <c r="H87" s="10"/>
      <c r="K87" s="5">
        <f>G87</f>
        <v>-9.9463200000172947E-2</v>
      </c>
      <c r="O87">
        <f t="shared" ref="O87" ca="1" si="16">+C$11+C$12*F87</f>
        <v>-0.10658012293988869</v>
      </c>
      <c r="Q87" s="2">
        <f t="shared" ref="Q87" si="17">+C87-15018.5</f>
        <v>44441.925999999999</v>
      </c>
    </row>
    <row r="88" spans="1:17" x14ac:dyDescent="0.2">
      <c r="C88" s="10"/>
      <c r="D88" s="10"/>
    </row>
    <row r="89" spans="1:17" x14ac:dyDescent="0.2">
      <c r="C89" s="10"/>
      <c r="D89" s="10"/>
    </row>
    <row r="90" spans="1:17" x14ac:dyDescent="0.2">
      <c r="C90" s="10"/>
      <c r="D90" s="10"/>
    </row>
    <row r="91" spans="1:17" x14ac:dyDescent="0.2">
      <c r="C91" s="10"/>
      <c r="D91" s="10"/>
    </row>
    <row r="92" spans="1:17" x14ac:dyDescent="0.2">
      <c r="C92" s="10"/>
      <c r="D92" s="10"/>
    </row>
    <row r="93" spans="1:17" x14ac:dyDescent="0.2">
      <c r="C93" s="10"/>
      <c r="D93" s="10"/>
    </row>
    <row r="94" spans="1:17" x14ac:dyDescent="0.2">
      <c r="C94" s="10"/>
      <c r="D94" s="10"/>
    </row>
    <row r="95" spans="1:17" x14ac:dyDescent="0.2">
      <c r="C95" s="10"/>
      <c r="D95" s="10"/>
    </row>
    <row r="96" spans="1:17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</sheetData>
  <phoneticPr fontId="8" type="noConversion"/>
  <hyperlinks>
    <hyperlink ref="H245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4"/>
  <sheetViews>
    <sheetView topLeftCell="A71" workbookViewId="0">
      <selection activeCell="A23" sqref="A23:D74"/>
    </sheetView>
  </sheetViews>
  <sheetFormatPr defaultRowHeight="12.75" x14ac:dyDescent="0.2"/>
  <cols>
    <col min="1" max="1" width="19.7109375" style="10" customWidth="1"/>
    <col min="2" max="2" width="4.42578125" style="17" customWidth="1"/>
    <col min="3" max="3" width="12.7109375" style="10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0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4" t="s">
        <v>47</v>
      </c>
      <c r="I1" s="45" t="s">
        <v>48</v>
      </c>
      <c r="J1" s="46" t="s">
        <v>49</v>
      </c>
    </row>
    <row r="2" spans="1:16" x14ac:dyDescent="0.2">
      <c r="I2" s="47" t="s">
        <v>50</v>
      </c>
      <c r="J2" s="48" t="s">
        <v>51</v>
      </c>
    </row>
    <row r="3" spans="1:16" x14ac:dyDescent="0.2">
      <c r="A3" s="49" t="s">
        <v>52</v>
      </c>
      <c r="I3" s="47" t="s">
        <v>53</v>
      </c>
      <c r="J3" s="48" t="s">
        <v>54</v>
      </c>
    </row>
    <row r="4" spans="1:16" x14ac:dyDescent="0.2">
      <c r="I4" s="47" t="s">
        <v>55</v>
      </c>
      <c r="J4" s="48" t="s">
        <v>54</v>
      </c>
    </row>
    <row r="5" spans="1:16" ht="13.5" thickBot="1" x14ac:dyDescent="0.25">
      <c r="I5" s="50" t="s">
        <v>56</v>
      </c>
      <c r="J5" s="51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BAVM 152 </v>
      </c>
      <c r="B11" s="5" t="str">
        <f t="shared" ref="B11:B42" si="1">IF(H11=INT(H11),"I","II")</f>
        <v>I</v>
      </c>
      <c r="C11" s="10">
        <f t="shared" ref="C11:C42" si="2">1*G11</f>
        <v>51925.301599999999</v>
      </c>
      <c r="D11" s="17" t="str">
        <f t="shared" ref="D11:D42" si="3">VLOOKUP(F11,I$1:J$5,2,FALSE)</f>
        <v>vis</v>
      </c>
      <c r="E11" s="52">
        <f>VLOOKUP(C11,Active!C$21:E$973,3,FALSE)</f>
        <v>6928.9820013123217</v>
      </c>
      <c r="F11" s="5" t="s">
        <v>56</v>
      </c>
      <c r="G11" s="17" t="str">
        <f t="shared" ref="G11:G42" si="4">MID(I11,3,LEN(I11)-3)</f>
        <v>51925.3016</v>
      </c>
      <c r="H11" s="10">
        <f t="shared" ref="H11:H42" si="5">1*K11</f>
        <v>6929</v>
      </c>
      <c r="I11" s="53" t="s">
        <v>209</v>
      </c>
      <c r="J11" s="54" t="s">
        <v>210</v>
      </c>
      <c r="K11" s="53">
        <v>6929</v>
      </c>
      <c r="L11" s="53" t="s">
        <v>211</v>
      </c>
      <c r="M11" s="54" t="s">
        <v>212</v>
      </c>
      <c r="N11" s="54" t="s">
        <v>56</v>
      </c>
      <c r="O11" s="55" t="s">
        <v>213</v>
      </c>
      <c r="P11" s="56" t="s">
        <v>214</v>
      </c>
    </row>
    <row r="12" spans="1:16" ht="12.75" customHeight="1" thickBot="1" x14ac:dyDescent="0.25">
      <c r="A12" s="10" t="str">
        <f t="shared" si="0"/>
        <v>BAVM 152 </v>
      </c>
      <c r="B12" s="5" t="str">
        <f t="shared" si="1"/>
        <v>I</v>
      </c>
      <c r="C12" s="10">
        <f t="shared" si="2"/>
        <v>52194.535100000001</v>
      </c>
      <c r="D12" s="17" t="str">
        <f t="shared" si="3"/>
        <v>vis</v>
      </c>
      <c r="E12" s="52">
        <f>VLOOKUP(C12,Active!C$21:E$973,3,FALSE)</f>
        <v>7006.9812203162919</v>
      </c>
      <c r="F12" s="5" t="s">
        <v>56</v>
      </c>
      <c r="G12" s="17" t="str">
        <f t="shared" si="4"/>
        <v>52194.5351</v>
      </c>
      <c r="H12" s="10">
        <f t="shared" si="5"/>
        <v>7007</v>
      </c>
      <c r="I12" s="53" t="s">
        <v>215</v>
      </c>
      <c r="J12" s="54" t="s">
        <v>216</v>
      </c>
      <c r="K12" s="53">
        <v>7007</v>
      </c>
      <c r="L12" s="53" t="s">
        <v>217</v>
      </c>
      <c r="M12" s="54" t="s">
        <v>212</v>
      </c>
      <c r="N12" s="54" t="s">
        <v>218</v>
      </c>
      <c r="O12" s="55" t="s">
        <v>219</v>
      </c>
      <c r="P12" s="56" t="s">
        <v>214</v>
      </c>
    </row>
    <row r="13" spans="1:16" ht="12.75" customHeight="1" thickBot="1" x14ac:dyDescent="0.25">
      <c r="A13" s="10" t="str">
        <f t="shared" si="0"/>
        <v>BAVM 158 </v>
      </c>
      <c r="B13" s="5" t="str">
        <f t="shared" si="1"/>
        <v>I</v>
      </c>
      <c r="C13" s="10">
        <f t="shared" si="2"/>
        <v>52484.486799999999</v>
      </c>
      <c r="D13" s="17" t="str">
        <f t="shared" si="3"/>
        <v>vis</v>
      </c>
      <c r="E13" s="52">
        <f>VLOOKUP(C13,Active!C$21:E$973,3,FALSE)</f>
        <v>7090.9826768544763</v>
      </c>
      <c r="F13" s="5" t="s">
        <v>56</v>
      </c>
      <c r="G13" s="17" t="str">
        <f t="shared" si="4"/>
        <v>52484.4868</v>
      </c>
      <c r="H13" s="10">
        <f t="shared" si="5"/>
        <v>7091</v>
      </c>
      <c r="I13" s="53" t="s">
        <v>220</v>
      </c>
      <c r="J13" s="54" t="s">
        <v>221</v>
      </c>
      <c r="K13" s="53">
        <v>7091</v>
      </c>
      <c r="L13" s="53" t="s">
        <v>222</v>
      </c>
      <c r="M13" s="54" t="s">
        <v>212</v>
      </c>
      <c r="N13" s="54" t="s">
        <v>56</v>
      </c>
      <c r="O13" s="55" t="s">
        <v>223</v>
      </c>
      <c r="P13" s="56" t="s">
        <v>224</v>
      </c>
    </row>
    <row r="14" spans="1:16" ht="12.75" customHeight="1" thickBot="1" x14ac:dyDescent="0.25">
      <c r="A14" s="10" t="str">
        <f t="shared" si="0"/>
        <v>BAVM 158 </v>
      </c>
      <c r="B14" s="5" t="str">
        <f t="shared" si="1"/>
        <v>I</v>
      </c>
      <c r="C14" s="10">
        <f t="shared" si="2"/>
        <v>52567.330499999996</v>
      </c>
      <c r="D14" s="17" t="str">
        <f t="shared" si="3"/>
        <v>vis</v>
      </c>
      <c r="E14" s="52">
        <f>VLOOKUP(C14,Active!C$21:E$973,3,FALSE)</f>
        <v>7114.9831964755458</v>
      </c>
      <c r="F14" s="5" t="s">
        <v>56</v>
      </c>
      <c r="G14" s="17" t="str">
        <f t="shared" si="4"/>
        <v>52567.3305</v>
      </c>
      <c r="H14" s="10">
        <f t="shared" si="5"/>
        <v>7115</v>
      </c>
      <c r="I14" s="53" t="s">
        <v>225</v>
      </c>
      <c r="J14" s="54" t="s">
        <v>226</v>
      </c>
      <c r="K14" s="53">
        <v>7115</v>
      </c>
      <c r="L14" s="53" t="s">
        <v>227</v>
      </c>
      <c r="M14" s="54" t="s">
        <v>212</v>
      </c>
      <c r="N14" s="54" t="s">
        <v>218</v>
      </c>
      <c r="O14" s="55" t="s">
        <v>219</v>
      </c>
      <c r="P14" s="56" t="s">
        <v>224</v>
      </c>
    </row>
    <row r="15" spans="1:16" ht="12.75" customHeight="1" thickBot="1" x14ac:dyDescent="0.25">
      <c r="A15" s="10" t="str">
        <f t="shared" si="0"/>
        <v>BAVM 172 </v>
      </c>
      <c r="B15" s="5" t="str">
        <f t="shared" si="1"/>
        <v>I</v>
      </c>
      <c r="C15" s="10">
        <f t="shared" si="2"/>
        <v>52874.522499999999</v>
      </c>
      <c r="D15" s="17" t="str">
        <f t="shared" si="3"/>
        <v>vis</v>
      </c>
      <c r="E15" s="52">
        <f>VLOOKUP(C15,Active!C$21:E$973,3,FALSE)</f>
        <v>7203.9793135422096</v>
      </c>
      <c r="F15" s="5" t="s">
        <v>56</v>
      </c>
      <c r="G15" s="17" t="str">
        <f t="shared" si="4"/>
        <v>52874.5225</v>
      </c>
      <c r="H15" s="10">
        <f t="shared" si="5"/>
        <v>7204</v>
      </c>
      <c r="I15" s="53" t="s">
        <v>228</v>
      </c>
      <c r="J15" s="54" t="s">
        <v>229</v>
      </c>
      <c r="K15" s="53">
        <v>7204</v>
      </c>
      <c r="L15" s="53" t="s">
        <v>230</v>
      </c>
      <c r="M15" s="54" t="s">
        <v>212</v>
      </c>
      <c r="N15" s="54" t="s">
        <v>218</v>
      </c>
      <c r="O15" s="55" t="s">
        <v>219</v>
      </c>
      <c r="P15" s="56" t="s">
        <v>231</v>
      </c>
    </row>
    <row r="16" spans="1:16" ht="12.75" customHeight="1" thickBot="1" x14ac:dyDescent="0.25">
      <c r="A16" s="10" t="str">
        <f t="shared" si="0"/>
        <v>BAVM 172 </v>
      </c>
      <c r="B16" s="5" t="str">
        <f t="shared" si="1"/>
        <v>I</v>
      </c>
      <c r="C16" s="10">
        <f t="shared" si="2"/>
        <v>52981.53</v>
      </c>
      <c r="D16" s="17" t="str">
        <f t="shared" si="3"/>
        <v>vis</v>
      </c>
      <c r="E16" s="52">
        <f>VLOOKUP(C16,Active!C$21:E$973,3,FALSE)</f>
        <v>7234.9802901204121</v>
      </c>
      <c r="F16" s="5" t="s">
        <v>56</v>
      </c>
      <c r="G16" s="17" t="str">
        <f t="shared" si="4"/>
        <v>52981.5300</v>
      </c>
      <c r="H16" s="10">
        <f t="shared" si="5"/>
        <v>7235</v>
      </c>
      <c r="I16" s="53" t="s">
        <v>232</v>
      </c>
      <c r="J16" s="54" t="s">
        <v>233</v>
      </c>
      <c r="K16" s="53">
        <v>7235</v>
      </c>
      <c r="L16" s="53" t="s">
        <v>234</v>
      </c>
      <c r="M16" s="54" t="s">
        <v>212</v>
      </c>
      <c r="N16" s="54" t="s">
        <v>218</v>
      </c>
      <c r="O16" s="55" t="s">
        <v>235</v>
      </c>
      <c r="P16" s="56" t="s">
        <v>231</v>
      </c>
    </row>
    <row r="17" spans="1:16" ht="12.75" customHeight="1" thickBot="1" x14ac:dyDescent="0.25">
      <c r="A17" s="10" t="str">
        <f t="shared" si="0"/>
        <v>BAVM 183 </v>
      </c>
      <c r="B17" s="5" t="str">
        <f t="shared" si="1"/>
        <v>I</v>
      </c>
      <c r="C17" s="10">
        <f t="shared" si="2"/>
        <v>54096.445</v>
      </c>
      <c r="D17" s="17" t="str">
        <f t="shared" si="3"/>
        <v>vis</v>
      </c>
      <c r="E17" s="52">
        <f>VLOOKUP(C17,Active!C$21:E$973,3,FALSE)</f>
        <v>7557.9805826390302</v>
      </c>
      <c r="F17" s="5" t="s">
        <v>56</v>
      </c>
      <c r="G17" s="17" t="str">
        <f t="shared" si="4"/>
        <v>54096.4450</v>
      </c>
      <c r="H17" s="10">
        <f t="shared" si="5"/>
        <v>7558</v>
      </c>
      <c r="I17" s="53" t="s">
        <v>236</v>
      </c>
      <c r="J17" s="54" t="s">
        <v>237</v>
      </c>
      <c r="K17" s="53">
        <v>7558</v>
      </c>
      <c r="L17" s="53" t="s">
        <v>238</v>
      </c>
      <c r="M17" s="54" t="s">
        <v>239</v>
      </c>
      <c r="N17" s="54" t="s">
        <v>240</v>
      </c>
      <c r="O17" s="55" t="s">
        <v>241</v>
      </c>
      <c r="P17" s="56" t="s">
        <v>242</v>
      </c>
    </row>
    <row r="18" spans="1:16" ht="12.75" customHeight="1" thickBot="1" x14ac:dyDescent="0.25">
      <c r="A18" s="10" t="str">
        <f t="shared" si="0"/>
        <v>IBVS 5871 </v>
      </c>
      <c r="B18" s="5" t="str">
        <f t="shared" si="1"/>
        <v>I</v>
      </c>
      <c r="C18" s="10">
        <f t="shared" si="2"/>
        <v>54800.5942</v>
      </c>
      <c r="D18" s="17" t="str">
        <f t="shared" si="3"/>
        <v>vis</v>
      </c>
      <c r="E18" s="52">
        <f>VLOOKUP(C18,Active!C$21:E$973,3,FALSE)</f>
        <v>7761.978553405188</v>
      </c>
      <c r="F18" s="5" t="s">
        <v>56</v>
      </c>
      <c r="G18" s="17" t="str">
        <f t="shared" si="4"/>
        <v>54800.5942</v>
      </c>
      <c r="H18" s="10">
        <f t="shared" si="5"/>
        <v>7762</v>
      </c>
      <c r="I18" s="53" t="s">
        <v>248</v>
      </c>
      <c r="J18" s="54" t="s">
        <v>249</v>
      </c>
      <c r="K18" s="53" t="s">
        <v>250</v>
      </c>
      <c r="L18" s="53" t="s">
        <v>251</v>
      </c>
      <c r="M18" s="54" t="s">
        <v>239</v>
      </c>
      <c r="N18" s="54" t="s">
        <v>56</v>
      </c>
      <c r="O18" s="55" t="s">
        <v>252</v>
      </c>
      <c r="P18" s="56" t="s">
        <v>253</v>
      </c>
    </row>
    <row r="19" spans="1:16" ht="12.75" customHeight="1" thickBot="1" x14ac:dyDescent="0.25">
      <c r="A19" s="10" t="str">
        <f t="shared" si="0"/>
        <v>IBVS 5920 </v>
      </c>
      <c r="B19" s="5" t="str">
        <f t="shared" si="1"/>
        <v>I</v>
      </c>
      <c r="C19" s="10">
        <f t="shared" si="2"/>
        <v>55100.886899999998</v>
      </c>
      <c r="D19" s="17" t="str">
        <f t="shared" si="3"/>
        <v>vis</v>
      </c>
      <c r="E19" s="52">
        <f>VLOOKUP(C19,Active!C$21:E$973,3,FALSE)</f>
        <v>7848.9758849876007</v>
      </c>
      <c r="F19" s="5" t="s">
        <v>56</v>
      </c>
      <c r="G19" s="17" t="str">
        <f t="shared" si="4"/>
        <v>55100.8869</v>
      </c>
      <c r="H19" s="10">
        <f t="shared" si="5"/>
        <v>7849</v>
      </c>
      <c r="I19" s="53" t="s">
        <v>254</v>
      </c>
      <c r="J19" s="54" t="s">
        <v>255</v>
      </c>
      <c r="K19" s="53" t="s">
        <v>256</v>
      </c>
      <c r="L19" s="53" t="s">
        <v>257</v>
      </c>
      <c r="M19" s="54" t="s">
        <v>239</v>
      </c>
      <c r="N19" s="54" t="s">
        <v>56</v>
      </c>
      <c r="O19" s="55" t="s">
        <v>252</v>
      </c>
      <c r="P19" s="56" t="s">
        <v>258</v>
      </c>
    </row>
    <row r="20" spans="1:16" ht="12.75" customHeight="1" thickBot="1" x14ac:dyDescent="0.25">
      <c r="A20" s="10" t="str">
        <f t="shared" si="0"/>
        <v>BAVM 231 </v>
      </c>
      <c r="B20" s="5" t="str">
        <f t="shared" si="1"/>
        <v>I</v>
      </c>
      <c r="C20" s="10">
        <f t="shared" si="2"/>
        <v>56167.471700000002</v>
      </c>
      <c r="D20" s="17" t="str">
        <f t="shared" si="3"/>
        <v>vis</v>
      </c>
      <c r="E20" s="52">
        <f>VLOOKUP(C20,Active!C$21:E$973,3,FALSE)</f>
        <v>8157.9745103499945</v>
      </c>
      <c r="F20" s="5" t="s">
        <v>56</v>
      </c>
      <c r="G20" s="17" t="str">
        <f t="shared" si="4"/>
        <v>56167.4717</v>
      </c>
      <c r="H20" s="10">
        <f t="shared" si="5"/>
        <v>8158</v>
      </c>
      <c r="I20" s="53" t="s">
        <v>265</v>
      </c>
      <c r="J20" s="54" t="s">
        <v>266</v>
      </c>
      <c r="K20" s="53" t="s">
        <v>267</v>
      </c>
      <c r="L20" s="53" t="s">
        <v>268</v>
      </c>
      <c r="M20" s="54" t="s">
        <v>239</v>
      </c>
      <c r="N20" s="54" t="s">
        <v>240</v>
      </c>
      <c r="O20" s="55" t="s">
        <v>241</v>
      </c>
      <c r="P20" s="56" t="s">
        <v>269</v>
      </c>
    </row>
    <row r="21" spans="1:16" ht="12.75" customHeight="1" thickBot="1" x14ac:dyDescent="0.25">
      <c r="A21" s="10" t="str">
        <f t="shared" si="0"/>
        <v>BAVM 234 </v>
      </c>
      <c r="B21" s="5" t="str">
        <f t="shared" si="1"/>
        <v>I</v>
      </c>
      <c r="C21" s="10">
        <f t="shared" si="2"/>
        <v>56526.453200000004</v>
      </c>
      <c r="D21" s="17" t="str">
        <f t="shared" si="3"/>
        <v>vis</v>
      </c>
      <c r="E21" s="52">
        <f>VLOOKUP(C21,Active!C$21:E$973,3,FALSE)</f>
        <v>8261.974483001517</v>
      </c>
      <c r="F21" s="5" t="s">
        <v>56</v>
      </c>
      <c r="G21" s="17" t="str">
        <f t="shared" si="4"/>
        <v>56526.4532</v>
      </c>
      <c r="H21" s="10">
        <f t="shared" si="5"/>
        <v>8262</v>
      </c>
      <c r="I21" s="53" t="s">
        <v>270</v>
      </c>
      <c r="J21" s="54" t="s">
        <v>271</v>
      </c>
      <c r="K21" s="53" t="s">
        <v>272</v>
      </c>
      <c r="L21" s="53" t="s">
        <v>273</v>
      </c>
      <c r="M21" s="54" t="s">
        <v>239</v>
      </c>
      <c r="N21" s="54" t="s">
        <v>240</v>
      </c>
      <c r="O21" s="55" t="s">
        <v>241</v>
      </c>
      <c r="P21" s="56" t="s">
        <v>274</v>
      </c>
    </row>
    <row r="22" spans="1:16" ht="12.75" customHeight="1" thickBot="1" x14ac:dyDescent="0.25">
      <c r="A22" s="10" t="str">
        <f t="shared" si="0"/>
        <v>BAVM 239 </v>
      </c>
      <c r="B22" s="5" t="str">
        <f t="shared" si="1"/>
        <v>I</v>
      </c>
      <c r="C22" s="10">
        <f t="shared" si="2"/>
        <v>56916.482100000001</v>
      </c>
      <c r="D22" s="17" t="str">
        <f t="shared" si="3"/>
        <v>vis</v>
      </c>
      <c r="E22" s="52">
        <f>VLOOKUP(C22,Active!C$21:E$973,3,FALSE)</f>
        <v>8374.9691496718151</v>
      </c>
      <c r="F22" s="5" t="s">
        <v>56</v>
      </c>
      <c r="G22" s="17" t="str">
        <f t="shared" si="4"/>
        <v>56916.4821</v>
      </c>
      <c r="H22" s="10">
        <f t="shared" si="5"/>
        <v>8375</v>
      </c>
      <c r="I22" s="53" t="s">
        <v>275</v>
      </c>
      <c r="J22" s="54" t="s">
        <v>276</v>
      </c>
      <c r="K22" s="53" t="s">
        <v>277</v>
      </c>
      <c r="L22" s="53" t="s">
        <v>278</v>
      </c>
      <c r="M22" s="54" t="s">
        <v>239</v>
      </c>
      <c r="N22" s="54" t="s">
        <v>240</v>
      </c>
      <c r="O22" s="55" t="s">
        <v>241</v>
      </c>
      <c r="P22" s="56" t="s">
        <v>279</v>
      </c>
    </row>
    <row r="23" spans="1:16" ht="12.75" customHeight="1" thickBot="1" x14ac:dyDescent="0.25">
      <c r="A23" s="10" t="str">
        <f t="shared" si="0"/>
        <v> VSS 1.64 </v>
      </c>
      <c r="B23" s="5" t="str">
        <f t="shared" si="1"/>
        <v>I</v>
      </c>
      <c r="C23" s="10">
        <f t="shared" si="2"/>
        <v>28008.43</v>
      </c>
      <c r="D23" s="17" t="str">
        <f t="shared" si="3"/>
        <v>vis</v>
      </c>
      <c r="E23" s="52">
        <f>VLOOKUP(C23,Active!C$21:E$973,3,FALSE)</f>
        <v>6.2287315976150601E-2</v>
      </c>
      <c r="F23" s="5" t="s">
        <v>56</v>
      </c>
      <c r="G23" s="17" t="str">
        <f t="shared" si="4"/>
        <v>28008.43</v>
      </c>
      <c r="H23" s="10">
        <f t="shared" si="5"/>
        <v>0</v>
      </c>
      <c r="I23" s="53" t="s">
        <v>58</v>
      </c>
      <c r="J23" s="54" t="s">
        <v>59</v>
      </c>
      <c r="K23" s="53">
        <v>0</v>
      </c>
      <c r="L23" s="53" t="s">
        <v>60</v>
      </c>
      <c r="M23" s="54" t="s">
        <v>61</v>
      </c>
      <c r="N23" s="54"/>
      <c r="O23" s="55" t="s">
        <v>62</v>
      </c>
      <c r="P23" s="55" t="s">
        <v>63</v>
      </c>
    </row>
    <row r="24" spans="1:16" ht="12.75" customHeight="1" thickBot="1" x14ac:dyDescent="0.25">
      <c r="A24" s="10" t="str">
        <f t="shared" si="0"/>
        <v> VSS 1.64 </v>
      </c>
      <c r="B24" s="5" t="str">
        <f t="shared" si="1"/>
        <v>I</v>
      </c>
      <c r="C24" s="10">
        <f t="shared" si="2"/>
        <v>28246.48</v>
      </c>
      <c r="D24" s="17" t="str">
        <f t="shared" si="3"/>
        <v>vis</v>
      </c>
      <c r="E24" s="52">
        <f>VLOOKUP(C24,Active!C$21:E$973,3,FALSE)</f>
        <v>69.027382981616014</v>
      </c>
      <c r="F24" s="5" t="s">
        <v>56</v>
      </c>
      <c r="G24" s="17" t="str">
        <f t="shared" si="4"/>
        <v>28246.48</v>
      </c>
      <c r="H24" s="10">
        <f t="shared" si="5"/>
        <v>69</v>
      </c>
      <c r="I24" s="53" t="s">
        <v>64</v>
      </c>
      <c r="J24" s="54" t="s">
        <v>65</v>
      </c>
      <c r="K24" s="53">
        <v>69</v>
      </c>
      <c r="L24" s="53" t="s">
        <v>66</v>
      </c>
      <c r="M24" s="54" t="s">
        <v>61</v>
      </c>
      <c r="N24" s="54"/>
      <c r="O24" s="55" t="s">
        <v>62</v>
      </c>
      <c r="P24" s="55" t="s">
        <v>63</v>
      </c>
    </row>
    <row r="25" spans="1:16" ht="12.75" customHeight="1" thickBot="1" x14ac:dyDescent="0.25">
      <c r="A25" s="10" t="str">
        <f t="shared" si="0"/>
        <v> VSS 1.64 </v>
      </c>
      <c r="B25" s="5" t="str">
        <f t="shared" si="1"/>
        <v>I</v>
      </c>
      <c r="C25" s="10">
        <f t="shared" si="2"/>
        <v>28308.42</v>
      </c>
      <c r="D25" s="17" t="str">
        <f t="shared" si="3"/>
        <v>vis</v>
      </c>
      <c r="E25" s="52">
        <f>VLOOKUP(C25,Active!C$21:E$973,3,FALSE)</f>
        <v>86.971924151662876</v>
      </c>
      <c r="F25" s="5" t="s">
        <v>56</v>
      </c>
      <c r="G25" s="17" t="str">
        <f t="shared" si="4"/>
        <v>28308.42</v>
      </c>
      <c r="H25" s="10">
        <f t="shared" si="5"/>
        <v>87</v>
      </c>
      <c r="I25" s="53" t="s">
        <v>67</v>
      </c>
      <c r="J25" s="54" t="s">
        <v>68</v>
      </c>
      <c r="K25" s="53">
        <v>87</v>
      </c>
      <c r="L25" s="53" t="s">
        <v>69</v>
      </c>
      <c r="M25" s="54" t="s">
        <v>61</v>
      </c>
      <c r="N25" s="54"/>
      <c r="O25" s="55" t="s">
        <v>62</v>
      </c>
      <c r="P25" s="55" t="s">
        <v>63</v>
      </c>
    </row>
    <row r="26" spans="1:16" ht="12.75" customHeight="1" thickBot="1" x14ac:dyDescent="0.25">
      <c r="A26" s="10" t="str">
        <f t="shared" si="0"/>
        <v> VSS 1.64 </v>
      </c>
      <c r="B26" s="5" t="str">
        <f t="shared" si="1"/>
        <v>I</v>
      </c>
      <c r="C26" s="10">
        <f t="shared" si="2"/>
        <v>28453.26</v>
      </c>
      <c r="D26" s="17" t="str">
        <f t="shared" si="3"/>
        <v>vis</v>
      </c>
      <c r="E26" s="52">
        <f>VLOOKUP(C26,Active!C$21:E$973,3,FALSE)</f>
        <v>128.93329552831196</v>
      </c>
      <c r="F26" s="5" t="s">
        <v>56</v>
      </c>
      <c r="G26" s="17" t="str">
        <f t="shared" si="4"/>
        <v>28453.26</v>
      </c>
      <c r="H26" s="10">
        <f t="shared" si="5"/>
        <v>129</v>
      </c>
      <c r="I26" s="53" t="s">
        <v>70</v>
      </c>
      <c r="J26" s="54" t="s">
        <v>71</v>
      </c>
      <c r="K26" s="53">
        <v>129</v>
      </c>
      <c r="L26" s="53" t="s">
        <v>72</v>
      </c>
      <c r="M26" s="54" t="s">
        <v>61</v>
      </c>
      <c r="N26" s="54"/>
      <c r="O26" s="55" t="s">
        <v>62</v>
      </c>
      <c r="P26" s="55" t="s">
        <v>63</v>
      </c>
    </row>
    <row r="27" spans="1:16" ht="12.75" customHeight="1" thickBot="1" x14ac:dyDescent="0.25">
      <c r="A27" s="10" t="str">
        <f t="shared" si="0"/>
        <v> VSS 1.64 </v>
      </c>
      <c r="B27" s="5" t="str">
        <f t="shared" si="1"/>
        <v>I</v>
      </c>
      <c r="C27" s="10">
        <f t="shared" si="2"/>
        <v>28546.66</v>
      </c>
      <c r="D27" s="17" t="str">
        <f t="shared" si="3"/>
        <v>vis</v>
      </c>
      <c r="E27" s="52">
        <f>VLOOKUP(C27,Active!C$21:E$973,3,FALSE)</f>
        <v>155.99206442211951</v>
      </c>
      <c r="F27" s="5" t="s">
        <v>56</v>
      </c>
      <c r="G27" s="17" t="str">
        <f t="shared" si="4"/>
        <v>28546.66</v>
      </c>
      <c r="H27" s="10">
        <f t="shared" si="5"/>
        <v>156</v>
      </c>
      <c r="I27" s="53" t="s">
        <v>73</v>
      </c>
      <c r="J27" s="54" t="s">
        <v>74</v>
      </c>
      <c r="K27" s="53">
        <v>156</v>
      </c>
      <c r="L27" s="53" t="s">
        <v>75</v>
      </c>
      <c r="M27" s="54" t="s">
        <v>61</v>
      </c>
      <c r="N27" s="54"/>
      <c r="O27" s="55" t="s">
        <v>62</v>
      </c>
      <c r="P27" s="55" t="s">
        <v>63</v>
      </c>
    </row>
    <row r="28" spans="1:16" ht="12.75" customHeight="1" thickBot="1" x14ac:dyDescent="0.25">
      <c r="A28" s="10" t="str">
        <f t="shared" si="0"/>
        <v> VSS 1.64 </v>
      </c>
      <c r="B28" s="5" t="str">
        <f t="shared" si="1"/>
        <v>I</v>
      </c>
      <c r="C28" s="10">
        <f t="shared" si="2"/>
        <v>28629.5</v>
      </c>
      <c r="D28" s="17" t="str">
        <f t="shared" si="3"/>
        <v>vis</v>
      </c>
      <c r="E28" s="52">
        <f>VLOOKUP(C28,Active!C$21:E$973,3,FALSE)</f>
        <v>179.99151212193732</v>
      </c>
      <c r="F28" s="5" t="s">
        <v>56</v>
      </c>
      <c r="G28" s="17" t="str">
        <f t="shared" si="4"/>
        <v>28629.50</v>
      </c>
      <c r="H28" s="10">
        <f t="shared" si="5"/>
        <v>180</v>
      </c>
      <c r="I28" s="53" t="s">
        <v>76</v>
      </c>
      <c r="J28" s="54" t="s">
        <v>77</v>
      </c>
      <c r="K28" s="53">
        <v>180</v>
      </c>
      <c r="L28" s="53" t="s">
        <v>75</v>
      </c>
      <c r="M28" s="54" t="s">
        <v>61</v>
      </c>
      <c r="N28" s="54"/>
      <c r="O28" s="55" t="s">
        <v>62</v>
      </c>
      <c r="P28" s="55" t="s">
        <v>63</v>
      </c>
    </row>
    <row r="29" spans="1:16" ht="12.75" customHeight="1" thickBot="1" x14ac:dyDescent="0.25">
      <c r="A29" s="10" t="str">
        <f t="shared" si="0"/>
        <v> VSS 1.64 </v>
      </c>
      <c r="B29" s="5" t="str">
        <f t="shared" si="1"/>
        <v>I</v>
      </c>
      <c r="C29" s="10">
        <f t="shared" si="2"/>
        <v>28636.46</v>
      </c>
      <c r="D29" s="17" t="str">
        <f t="shared" si="3"/>
        <v>vis</v>
      </c>
      <c r="E29" s="52">
        <f>VLOOKUP(C29,Active!C$21:E$973,3,FALSE)</f>
        <v>182.0078829088846</v>
      </c>
      <c r="F29" s="5" t="s">
        <v>56</v>
      </c>
      <c r="G29" s="17" t="str">
        <f t="shared" si="4"/>
        <v>28636.46</v>
      </c>
      <c r="H29" s="10">
        <f t="shared" si="5"/>
        <v>182</v>
      </c>
      <c r="I29" s="53" t="s">
        <v>78</v>
      </c>
      <c r="J29" s="54" t="s">
        <v>79</v>
      </c>
      <c r="K29" s="53">
        <v>182</v>
      </c>
      <c r="L29" s="53" t="s">
        <v>80</v>
      </c>
      <c r="M29" s="54" t="s">
        <v>61</v>
      </c>
      <c r="N29" s="54"/>
      <c r="O29" s="55" t="s">
        <v>62</v>
      </c>
      <c r="P29" s="55" t="s">
        <v>63</v>
      </c>
    </row>
    <row r="30" spans="1:16" ht="12.75" customHeight="1" thickBot="1" x14ac:dyDescent="0.25">
      <c r="A30" s="10" t="str">
        <f t="shared" si="0"/>
        <v> VSS 1.64 </v>
      </c>
      <c r="B30" s="5" t="str">
        <f t="shared" si="1"/>
        <v>I</v>
      </c>
      <c r="C30" s="10">
        <f t="shared" si="2"/>
        <v>28819.53</v>
      </c>
      <c r="D30" s="17" t="str">
        <f t="shared" si="3"/>
        <v>vis</v>
      </c>
      <c r="E30" s="52">
        <f>VLOOKUP(C30,Active!C$21:E$973,3,FALSE)</f>
        <v>235.04480819142483</v>
      </c>
      <c r="F30" s="5" t="s">
        <v>56</v>
      </c>
      <c r="G30" s="17" t="str">
        <f t="shared" si="4"/>
        <v>28819.53</v>
      </c>
      <c r="H30" s="10">
        <f t="shared" si="5"/>
        <v>235</v>
      </c>
      <c r="I30" s="53" t="s">
        <v>81</v>
      </c>
      <c r="J30" s="54" t="s">
        <v>82</v>
      </c>
      <c r="K30" s="53">
        <v>235</v>
      </c>
      <c r="L30" s="53" t="s">
        <v>83</v>
      </c>
      <c r="M30" s="54" t="s">
        <v>61</v>
      </c>
      <c r="N30" s="54"/>
      <c r="O30" s="55" t="s">
        <v>62</v>
      </c>
      <c r="P30" s="55" t="s">
        <v>63</v>
      </c>
    </row>
    <row r="31" spans="1:16" ht="12.75" customHeight="1" thickBot="1" x14ac:dyDescent="0.25">
      <c r="A31" s="10" t="str">
        <f t="shared" si="0"/>
        <v> VSS 1.64 </v>
      </c>
      <c r="B31" s="5" t="str">
        <f t="shared" si="1"/>
        <v>I</v>
      </c>
      <c r="C31" s="10">
        <f t="shared" si="2"/>
        <v>29216.37</v>
      </c>
      <c r="D31" s="17" t="str">
        <f t="shared" si="3"/>
        <v>vis</v>
      </c>
      <c r="E31" s="52">
        <f>VLOOKUP(C31,Active!C$21:E$973,3,FALSE)</f>
        <v>350.01270806100104</v>
      </c>
      <c r="F31" s="5" t="s">
        <v>56</v>
      </c>
      <c r="G31" s="17" t="str">
        <f t="shared" si="4"/>
        <v>29216.37</v>
      </c>
      <c r="H31" s="10">
        <f t="shared" si="5"/>
        <v>350</v>
      </c>
      <c r="I31" s="53" t="s">
        <v>84</v>
      </c>
      <c r="J31" s="54" t="s">
        <v>85</v>
      </c>
      <c r="K31" s="53">
        <v>350</v>
      </c>
      <c r="L31" s="53" t="s">
        <v>86</v>
      </c>
      <c r="M31" s="54" t="s">
        <v>61</v>
      </c>
      <c r="N31" s="54"/>
      <c r="O31" s="55" t="s">
        <v>62</v>
      </c>
      <c r="P31" s="55" t="s">
        <v>63</v>
      </c>
    </row>
    <row r="32" spans="1:16" ht="12.75" customHeight="1" thickBot="1" x14ac:dyDescent="0.25">
      <c r="A32" s="10" t="str">
        <f t="shared" si="0"/>
        <v> VSS 1.64 </v>
      </c>
      <c r="B32" s="5" t="str">
        <f t="shared" si="1"/>
        <v>I</v>
      </c>
      <c r="C32" s="10">
        <f t="shared" si="2"/>
        <v>29516.58</v>
      </c>
      <c r="D32" s="17" t="str">
        <f t="shared" si="3"/>
        <v>vis</v>
      </c>
      <c r="E32" s="52">
        <f>VLOOKUP(C32,Active!C$21:E$973,3,FALSE)</f>
        <v>436.98608075489727</v>
      </c>
      <c r="F32" s="5" t="s">
        <v>56</v>
      </c>
      <c r="G32" s="17" t="str">
        <f t="shared" si="4"/>
        <v>29516.58</v>
      </c>
      <c r="H32" s="10">
        <f t="shared" si="5"/>
        <v>437</v>
      </c>
      <c r="I32" s="53" t="s">
        <v>87</v>
      </c>
      <c r="J32" s="54" t="s">
        <v>88</v>
      </c>
      <c r="K32" s="53">
        <v>437</v>
      </c>
      <c r="L32" s="53" t="s">
        <v>89</v>
      </c>
      <c r="M32" s="54" t="s">
        <v>61</v>
      </c>
      <c r="N32" s="54"/>
      <c r="O32" s="55" t="s">
        <v>62</v>
      </c>
      <c r="P32" s="55" t="s">
        <v>63</v>
      </c>
    </row>
    <row r="33" spans="1:16" ht="12.75" customHeight="1" thickBot="1" x14ac:dyDescent="0.25">
      <c r="A33" s="10" t="str">
        <f t="shared" si="0"/>
        <v> VSS 1.64 </v>
      </c>
      <c r="B33" s="5" t="str">
        <f t="shared" si="1"/>
        <v>I</v>
      </c>
      <c r="C33" s="10">
        <f t="shared" si="2"/>
        <v>29965.49</v>
      </c>
      <c r="D33" s="17" t="str">
        <f t="shared" si="3"/>
        <v>vis</v>
      </c>
      <c r="E33" s="52">
        <f>VLOOKUP(C33,Active!C$21:E$973,3,FALSE)</f>
        <v>567.03909942854762</v>
      </c>
      <c r="F33" s="5" t="s">
        <v>56</v>
      </c>
      <c r="G33" s="17" t="str">
        <f t="shared" si="4"/>
        <v>29965.49</v>
      </c>
      <c r="H33" s="10">
        <f t="shared" si="5"/>
        <v>567</v>
      </c>
      <c r="I33" s="53" t="s">
        <v>90</v>
      </c>
      <c r="J33" s="54" t="s">
        <v>91</v>
      </c>
      <c r="K33" s="53">
        <v>567</v>
      </c>
      <c r="L33" s="53" t="s">
        <v>92</v>
      </c>
      <c r="M33" s="54" t="s">
        <v>61</v>
      </c>
      <c r="N33" s="54"/>
      <c r="O33" s="55" t="s">
        <v>62</v>
      </c>
      <c r="P33" s="55" t="s">
        <v>63</v>
      </c>
    </row>
    <row r="34" spans="1:16" ht="12.75" customHeight="1" thickBot="1" x14ac:dyDescent="0.25">
      <c r="A34" s="10" t="str">
        <f t="shared" si="0"/>
        <v> VSS 1.64 </v>
      </c>
      <c r="B34" s="5" t="str">
        <f t="shared" si="1"/>
        <v>I</v>
      </c>
      <c r="C34" s="10">
        <f t="shared" si="2"/>
        <v>30369.25</v>
      </c>
      <c r="D34" s="17" t="str">
        <f t="shared" si="3"/>
        <v>vis</v>
      </c>
      <c r="E34" s="52">
        <f>VLOOKUP(C34,Active!C$21:E$973,3,FALSE)</f>
        <v>684.01178174721485</v>
      </c>
      <c r="F34" s="5" t="s">
        <v>56</v>
      </c>
      <c r="G34" s="17" t="str">
        <f t="shared" si="4"/>
        <v>30369.25</v>
      </c>
      <c r="H34" s="10">
        <f t="shared" si="5"/>
        <v>684</v>
      </c>
      <c r="I34" s="53" t="s">
        <v>93</v>
      </c>
      <c r="J34" s="54" t="s">
        <v>94</v>
      </c>
      <c r="K34" s="53">
        <v>684</v>
      </c>
      <c r="L34" s="53" t="s">
        <v>86</v>
      </c>
      <c r="M34" s="54" t="s">
        <v>61</v>
      </c>
      <c r="N34" s="54"/>
      <c r="O34" s="55" t="s">
        <v>62</v>
      </c>
      <c r="P34" s="55" t="s">
        <v>63</v>
      </c>
    </row>
    <row r="35" spans="1:16" ht="12.75" customHeight="1" thickBot="1" x14ac:dyDescent="0.25">
      <c r="A35" s="10" t="str">
        <f t="shared" si="0"/>
        <v> VSS 1.64 </v>
      </c>
      <c r="B35" s="5" t="str">
        <f t="shared" si="1"/>
        <v>I</v>
      </c>
      <c r="C35" s="10">
        <f t="shared" si="2"/>
        <v>30400.28</v>
      </c>
      <c r="D35" s="17" t="str">
        <f t="shared" si="3"/>
        <v>vis</v>
      </c>
      <c r="E35" s="52">
        <f>VLOOKUP(C35,Active!C$21:E$973,3,FALSE)</f>
        <v>693.00143483902218</v>
      </c>
      <c r="F35" s="5" t="s">
        <v>56</v>
      </c>
      <c r="G35" s="17" t="str">
        <f t="shared" si="4"/>
        <v>30400.28</v>
      </c>
      <c r="H35" s="10">
        <f t="shared" si="5"/>
        <v>693</v>
      </c>
      <c r="I35" s="53" t="s">
        <v>95</v>
      </c>
      <c r="J35" s="54" t="s">
        <v>96</v>
      </c>
      <c r="K35" s="53">
        <v>693</v>
      </c>
      <c r="L35" s="53" t="s">
        <v>97</v>
      </c>
      <c r="M35" s="54" t="s">
        <v>61</v>
      </c>
      <c r="N35" s="54"/>
      <c r="O35" s="55" t="s">
        <v>62</v>
      </c>
      <c r="P35" s="55" t="s">
        <v>63</v>
      </c>
    </row>
    <row r="36" spans="1:16" ht="12.75" customHeight="1" thickBot="1" x14ac:dyDescent="0.25">
      <c r="A36" s="10" t="str">
        <f t="shared" si="0"/>
        <v> VSS 1.64 </v>
      </c>
      <c r="B36" s="5" t="str">
        <f t="shared" si="1"/>
        <v>I</v>
      </c>
      <c r="C36" s="10">
        <f t="shared" si="2"/>
        <v>30462.39</v>
      </c>
      <c r="D36" s="17" t="str">
        <f t="shared" si="3"/>
        <v>vis</v>
      </c>
      <c r="E36" s="52">
        <f>VLOOKUP(C36,Active!C$21:E$973,3,FALSE)</f>
        <v>710.99522644495767</v>
      </c>
      <c r="F36" s="5" t="s">
        <v>56</v>
      </c>
      <c r="G36" s="17" t="str">
        <f t="shared" si="4"/>
        <v>30462.39</v>
      </c>
      <c r="H36" s="10">
        <f t="shared" si="5"/>
        <v>711</v>
      </c>
      <c r="I36" s="53" t="s">
        <v>98</v>
      </c>
      <c r="J36" s="54" t="s">
        <v>99</v>
      </c>
      <c r="K36" s="53">
        <v>711</v>
      </c>
      <c r="L36" s="53" t="s">
        <v>100</v>
      </c>
      <c r="M36" s="54" t="s">
        <v>61</v>
      </c>
      <c r="N36" s="54"/>
      <c r="O36" s="55" t="s">
        <v>62</v>
      </c>
      <c r="P36" s="55" t="s">
        <v>63</v>
      </c>
    </row>
    <row r="37" spans="1:16" ht="12.75" customHeight="1" thickBot="1" x14ac:dyDescent="0.25">
      <c r="A37" s="10" t="str">
        <f t="shared" si="0"/>
        <v> VSS 1.64 </v>
      </c>
      <c r="B37" s="5" t="str">
        <f t="shared" si="1"/>
        <v>I</v>
      </c>
      <c r="C37" s="10">
        <f t="shared" si="2"/>
        <v>30624.61</v>
      </c>
      <c r="D37" s="17" t="str">
        <f t="shared" si="3"/>
        <v>vis</v>
      </c>
      <c r="E37" s="52">
        <f>VLOOKUP(C37,Active!C$21:E$973,3,FALSE)</f>
        <v>757.99173062004775</v>
      </c>
      <c r="F37" s="5" t="s">
        <v>56</v>
      </c>
      <c r="G37" s="17" t="str">
        <f t="shared" si="4"/>
        <v>30624.61</v>
      </c>
      <c r="H37" s="10">
        <f t="shared" si="5"/>
        <v>758</v>
      </c>
      <c r="I37" s="53" t="s">
        <v>101</v>
      </c>
      <c r="J37" s="54" t="s">
        <v>102</v>
      </c>
      <c r="K37" s="53">
        <v>758</v>
      </c>
      <c r="L37" s="53" t="s">
        <v>75</v>
      </c>
      <c r="M37" s="54" t="s">
        <v>61</v>
      </c>
      <c r="N37" s="54"/>
      <c r="O37" s="55" t="s">
        <v>62</v>
      </c>
      <c r="P37" s="55" t="s">
        <v>63</v>
      </c>
    </row>
    <row r="38" spans="1:16" ht="12.75" customHeight="1" thickBot="1" x14ac:dyDescent="0.25">
      <c r="A38" s="10" t="str">
        <f t="shared" si="0"/>
        <v> VSS 1.64 </v>
      </c>
      <c r="B38" s="5" t="str">
        <f t="shared" si="1"/>
        <v>I</v>
      </c>
      <c r="C38" s="10">
        <f t="shared" si="2"/>
        <v>30645.46</v>
      </c>
      <c r="D38" s="17" t="str">
        <f t="shared" si="3"/>
        <v>vis</v>
      </c>
      <c r="E38" s="52">
        <f>VLOOKUP(C38,Active!C$21:E$973,3,FALSE)</f>
        <v>764.03215172749788</v>
      </c>
      <c r="F38" s="5" t="s">
        <v>56</v>
      </c>
      <c r="G38" s="17" t="str">
        <f t="shared" si="4"/>
        <v>30645.46</v>
      </c>
      <c r="H38" s="10">
        <f t="shared" si="5"/>
        <v>764</v>
      </c>
      <c r="I38" s="53" t="s">
        <v>103</v>
      </c>
      <c r="J38" s="54" t="s">
        <v>104</v>
      </c>
      <c r="K38" s="53">
        <v>764</v>
      </c>
      <c r="L38" s="53" t="s">
        <v>105</v>
      </c>
      <c r="M38" s="54" t="s">
        <v>61</v>
      </c>
      <c r="N38" s="54"/>
      <c r="O38" s="55" t="s">
        <v>62</v>
      </c>
      <c r="P38" s="55" t="s">
        <v>63</v>
      </c>
    </row>
    <row r="39" spans="1:16" ht="12.75" customHeight="1" thickBot="1" x14ac:dyDescent="0.25">
      <c r="A39" s="10" t="str">
        <f t="shared" si="0"/>
        <v> VSS 1.64 </v>
      </c>
      <c r="B39" s="5" t="str">
        <f t="shared" si="1"/>
        <v>I</v>
      </c>
      <c r="C39" s="10">
        <f t="shared" si="2"/>
        <v>30721.33</v>
      </c>
      <c r="D39" s="17" t="str">
        <f t="shared" si="3"/>
        <v>vis</v>
      </c>
      <c r="E39" s="52">
        <f>VLOOKUP(C39,Active!C$21:E$973,3,FALSE)</f>
        <v>786.01233155590489</v>
      </c>
      <c r="F39" s="5" t="s">
        <v>56</v>
      </c>
      <c r="G39" s="17" t="str">
        <f t="shared" si="4"/>
        <v>30721.33</v>
      </c>
      <c r="H39" s="10">
        <f t="shared" si="5"/>
        <v>786</v>
      </c>
      <c r="I39" s="53" t="s">
        <v>106</v>
      </c>
      <c r="J39" s="54" t="s">
        <v>107</v>
      </c>
      <c r="K39" s="53">
        <v>786</v>
      </c>
      <c r="L39" s="53" t="s">
        <v>86</v>
      </c>
      <c r="M39" s="54" t="s">
        <v>61</v>
      </c>
      <c r="N39" s="54"/>
      <c r="O39" s="55" t="s">
        <v>62</v>
      </c>
      <c r="P39" s="55" t="s">
        <v>63</v>
      </c>
    </row>
    <row r="40" spans="1:16" ht="12.75" customHeight="1" thickBot="1" x14ac:dyDescent="0.25">
      <c r="A40" s="10" t="str">
        <f t="shared" si="0"/>
        <v> VSS 1.64 </v>
      </c>
      <c r="B40" s="5" t="str">
        <f t="shared" si="1"/>
        <v>I</v>
      </c>
      <c r="C40" s="10">
        <f t="shared" si="2"/>
        <v>31028.53</v>
      </c>
      <c r="D40" s="17" t="str">
        <f t="shared" si="3"/>
        <v>vis</v>
      </c>
      <c r="E40" s="52">
        <f>VLOOKUP(C40,Active!C$21:E$973,3,FALSE)</f>
        <v>875.01076629013903</v>
      </c>
      <c r="F40" s="5" t="s">
        <v>56</v>
      </c>
      <c r="G40" s="17" t="str">
        <f t="shared" si="4"/>
        <v>31028.53</v>
      </c>
      <c r="H40" s="10">
        <f t="shared" si="5"/>
        <v>875</v>
      </c>
      <c r="I40" s="53" t="s">
        <v>108</v>
      </c>
      <c r="J40" s="54" t="s">
        <v>109</v>
      </c>
      <c r="K40" s="53">
        <v>875</v>
      </c>
      <c r="L40" s="53" t="s">
        <v>86</v>
      </c>
      <c r="M40" s="54" t="s">
        <v>61</v>
      </c>
      <c r="N40" s="54"/>
      <c r="O40" s="55" t="s">
        <v>62</v>
      </c>
      <c r="P40" s="55" t="s">
        <v>63</v>
      </c>
    </row>
    <row r="41" spans="1:16" ht="12.75" customHeight="1" thickBot="1" x14ac:dyDescent="0.25">
      <c r="A41" s="10" t="str">
        <f t="shared" si="0"/>
        <v> VSS 1.64 </v>
      </c>
      <c r="B41" s="5" t="str">
        <f t="shared" si="1"/>
        <v>I</v>
      </c>
      <c r="C41" s="10">
        <f t="shared" si="2"/>
        <v>31204.38</v>
      </c>
      <c r="D41" s="17" t="str">
        <f t="shared" si="3"/>
        <v>vis</v>
      </c>
      <c r="E41" s="52">
        <f>VLOOKUP(C41,Active!C$21:E$973,3,FALSE)</f>
        <v>925.9559965896683</v>
      </c>
      <c r="F41" s="5" t="s">
        <v>56</v>
      </c>
      <c r="G41" s="17" t="str">
        <f t="shared" si="4"/>
        <v>31204.38</v>
      </c>
      <c r="H41" s="10">
        <f t="shared" si="5"/>
        <v>926</v>
      </c>
      <c r="I41" s="53" t="s">
        <v>110</v>
      </c>
      <c r="J41" s="54" t="s">
        <v>111</v>
      </c>
      <c r="K41" s="53">
        <v>926</v>
      </c>
      <c r="L41" s="53" t="s">
        <v>112</v>
      </c>
      <c r="M41" s="54" t="s">
        <v>61</v>
      </c>
      <c r="N41" s="54"/>
      <c r="O41" s="55" t="s">
        <v>62</v>
      </c>
      <c r="P41" s="55" t="s">
        <v>63</v>
      </c>
    </row>
    <row r="42" spans="1:16" ht="12.75" customHeight="1" thickBot="1" x14ac:dyDescent="0.25">
      <c r="A42" s="10" t="str">
        <f t="shared" si="0"/>
        <v> MHAR 11.5 </v>
      </c>
      <c r="B42" s="5" t="str">
        <f t="shared" si="1"/>
        <v>I</v>
      </c>
      <c r="C42" s="10">
        <f t="shared" si="2"/>
        <v>31739.518</v>
      </c>
      <c r="D42" s="17" t="str">
        <f t="shared" si="3"/>
        <v>vis</v>
      </c>
      <c r="E42" s="52">
        <f>VLOOKUP(C42,Active!C$21:E$973,3,FALSE)</f>
        <v>1080.9899951795412</v>
      </c>
      <c r="F42" s="5" t="s">
        <v>56</v>
      </c>
      <c r="G42" s="17" t="str">
        <f t="shared" si="4"/>
        <v>31739.518</v>
      </c>
      <c r="H42" s="10">
        <f t="shared" si="5"/>
        <v>1081</v>
      </c>
      <c r="I42" s="53" t="s">
        <v>113</v>
      </c>
      <c r="J42" s="54" t="s">
        <v>114</v>
      </c>
      <c r="K42" s="53">
        <v>1081</v>
      </c>
      <c r="L42" s="53" t="s">
        <v>115</v>
      </c>
      <c r="M42" s="54" t="s">
        <v>61</v>
      </c>
      <c r="N42" s="54"/>
      <c r="O42" s="55" t="s">
        <v>116</v>
      </c>
      <c r="P42" s="55" t="s">
        <v>117</v>
      </c>
    </row>
    <row r="43" spans="1:16" ht="12.75" customHeight="1" thickBot="1" x14ac:dyDescent="0.25">
      <c r="A43" s="10" t="str">
        <f t="shared" ref="A43:A74" si="6">P43</f>
        <v> MHAR 11.5 </v>
      </c>
      <c r="B43" s="5" t="str">
        <f t="shared" ref="B43:B74" si="7">IF(H43=INT(H43),"I","II")</f>
        <v>I</v>
      </c>
      <c r="C43" s="10">
        <f t="shared" ref="C43:C74" si="8">1*G43</f>
        <v>32944.269999999997</v>
      </c>
      <c r="D43" s="17" t="str">
        <f t="shared" ref="D43:D74" si="9">VLOOKUP(F43,I$1:J$5,2,FALSE)</f>
        <v>vis</v>
      </c>
      <c r="E43" s="52">
        <f>VLOOKUP(C43,Active!C$21:E$973,3,FALSE)</f>
        <v>1430.0168253974407</v>
      </c>
      <c r="F43" s="5" t="s">
        <v>56</v>
      </c>
      <c r="G43" s="17" t="str">
        <f t="shared" ref="G43:G74" si="10">MID(I43,3,LEN(I43)-3)</f>
        <v>32944.270</v>
      </c>
      <c r="H43" s="10">
        <f t="shared" ref="H43:H74" si="11">1*K43</f>
        <v>1430</v>
      </c>
      <c r="I43" s="53" t="s">
        <v>118</v>
      </c>
      <c r="J43" s="54" t="s">
        <v>119</v>
      </c>
      <c r="K43" s="53">
        <v>1430</v>
      </c>
      <c r="L43" s="53" t="s">
        <v>120</v>
      </c>
      <c r="M43" s="54" t="s">
        <v>61</v>
      </c>
      <c r="N43" s="54"/>
      <c r="O43" s="55" t="s">
        <v>116</v>
      </c>
      <c r="P43" s="55" t="s">
        <v>117</v>
      </c>
    </row>
    <row r="44" spans="1:16" ht="12.75" customHeight="1" thickBot="1" x14ac:dyDescent="0.25">
      <c r="A44" s="10" t="str">
        <f t="shared" si="6"/>
        <v> MHAR 11.5 </v>
      </c>
      <c r="B44" s="5" t="str">
        <f t="shared" si="7"/>
        <v>I</v>
      </c>
      <c r="C44" s="10">
        <f t="shared" si="8"/>
        <v>34442.300000000003</v>
      </c>
      <c r="D44" s="17" t="str">
        <f t="shared" si="9"/>
        <v>vis</v>
      </c>
      <c r="E44" s="52">
        <f>VLOOKUP(C44,Active!C$21:E$973,3,FALSE)</f>
        <v>1864.00876935879</v>
      </c>
      <c r="F44" s="5" t="s">
        <v>56</v>
      </c>
      <c r="G44" s="17" t="str">
        <f t="shared" si="10"/>
        <v>34442.300</v>
      </c>
      <c r="H44" s="10">
        <f t="shared" si="11"/>
        <v>1864</v>
      </c>
      <c r="I44" s="53" t="s">
        <v>121</v>
      </c>
      <c r="J44" s="54" t="s">
        <v>122</v>
      </c>
      <c r="K44" s="53">
        <v>1864</v>
      </c>
      <c r="L44" s="53" t="s">
        <v>123</v>
      </c>
      <c r="M44" s="54" t="s">
        <v>61</v>
      </c>
      <c r="N44" s="54"/>
      <c r="O44" s="55" t="s">
        <v>116</v>
      </c>
      <c r="P44" s="55" t="s">
        <v>117</v>
      </c>
    </row>
    <row r="45" spans="1:16" ht="12.75" customHeight="1" thickBot="1" x14ac:dyDescent="0.25">
      <c r="A45" s="10" t="str">
        <f t="shared" si="6"/>
        <v> MHAR 11.5 </v>
      </c>
      <c r="B45" s="5" t="str">
        <f t="shared" si="7"/>
        <v>I</v>
      </c>
      <c r="C45" s="10">
        <f t="shared" si="8"/>
        <v>34718.423999999999</v>
      </c>
      <c r="D45" s="17" t="str">
        <f t="shared" si="9"/>
        <v>vis</v>
      </c>
      <c r="E45" s="52">
        <f>VLOOKUP(C45,Active!C$21:E$973,3,FALSE)</f>
        <v>1944.0042244126819</v>
      </c>
      <c r="F45" s="5" t="s">
        <v>56</v>
      </c>
      <c r="G45" s="17" t="str">
        <f t="shared" si="10"/>
        <v>34718.424</v>
      </c>
      <c r="H45" s="10">
        <f t="shared" si="11"/>
        <v>1944</v>
      </c>
      <c r="I45" s="53" t="s">
        <v>124</v>
      </c>
      <c r="J45" s="54" t="s">
        <v>125</v>
      </c>
      <c r="K45" s="53">
        <v>1944</v>
      </c>
      <c r="L45" s="53" t="s">
        <v>126</v>
      </c>
      <c r="M45" s="54" t="s">
        <v>61</v>
      </c>
      <c r="N45" s="54"/>
      <c r="O45" s="55" t="s">
        <v>116</v>
      </c>
      <c r="P45" s="55" t="s">
        <v>117</v>
      </c>
    </row>
    <row r="46" spans="1:16" ht="12.75" customHeight="1" thickBot="1" x14ac:dyDescent="0.25">
      <c r="A46" s="10" t="str">
        <f t="shared" si="6"/>
        <v> MHAR 11.5 </v>
      </c>
      <c r="B46" s="5" t="str">
        <f t="shared" si="7"/>
        <v>I</v>
      </c>
      <c r="C46" s="10">
        <f t="shared" si="8"/>
        <v>35070.495999999999</v>
      </c>
      <c r="D46" s="17" t="str">
        <f t="shared" si="9"/>
        <v>vis</v>
      </c>
      <c r="E46" s="52">
        <f>VLOOKUP(C46,Active!C$21:E$973,3,FALSE)</f>
        <v>2046.0024565538001</v>
      </c>
      <c r="F46" s="5" t="s">
        <v>56</v>
      </c>
      <c r="G46" s="17" t="str">
        <f t="shared" si="10"/>
        <v>35070.496</v>
      </c>
      <c r="H46" s="10">
        <f t="shared" si="11"/>
        <v>2046</v>
      </c>
      <c r="I46" s="53" t="s">
        <v>127</v>
      </c>
      <c r="J46" s="54" t="s">
        <v>128</v>
      </c>
      <c r="K46" s="53">
        <v>2046</v>
      </c>
      <c r="L46" s="53" t="s">
        <v>129</v>
      </c>
      <c r="M46" s="54" t="s">
        <v>61</v>
      </c>
      <c r="N46" s="54"/>
      <c r="O46" s="55" t="s">
        <v>116</v>
      </c>
      <c r="P46" s="55" t="s">
        <v>117</v>
      </c>
    </row>
    <row r="47" spans="1:16" ht="12.75" customHeight="1" thickBot="1" x14ac:dyDescent="0.25">
      <c r="A47" s="10" t="str">
        <f t="shared" si="6"/>
        <v> MHAR 11.5 </v>
      </c>
      <c r="B47" s="5" t="str">
        <f t="shared" si="7"/>
        <v>I</v>
      </c>
      <c r="C47" s="10">
        <f t="shared" si="8"/>
        <v>36903.438000000002</v>
      </c>
      <c r="D47" s="17" t="str">
        <f t="shared" si="9"/>
        <v>vis</v>
      </c>
      <c r="E47" s="52">
        <f>VLOOKUP(C47,Active!C$21:E$973,3,FALSE)</f>
        <v>2577.0212357160344</v>
      </c>
      <c r="F47" s="5" t="s">
        <v>56</v>
      </c>
      <c r="G47" s="17" t="str">
        <f t="shared" si="10"/>
        <v>36903.438</v>
      </c>
      <c r="H47" s="10">
        <f t="shared" si="11"/>
        <v>2577</v>
      </c>
      <c r="I47" s="53" t="s">
        <v>130</v>
      </c>
      <c r="J47" s="54" t="s">
        <v>131</v>
      </c>
      <c r="K47" s="53">
        <v>2577</v>
      </c>
      <c r="L47" s="53" t="s">
        <v>132</v>
      </c>
      <c r="M47" s="54" t="s">
        <v>61</v>
      </c>
      <c r="N47" s="54"/>
      <c r="O47" s="55" t="s">
        <v>116</v>
      </c>
      <c r="P47" s="55" t="s">
        <v>117</v>
      </c>
    </row>
    <row r="48" spans="1:16" ht="12.75" customHeight="1" thickBot="1" x14ac:dyDescent="0.25">
      <c r="A48" s="10" t="str">
        <f t="shared" si="6"/>
        <v> MHAR 11.5 </v>
      </c>
      <c r="B48" s="5" t="str">
        <f t="shared" si="7"/>
        <v>I</v>
      </c>
      <c r="C48" s="10">
        <f t="shared" si="8"/>
        <v>37614.476000000002</v>
      </c>
      <c r="D48" s="17" t="str">
        <f t="shared" si="9"/>
        <v>vis</v>
      </c>
      <c r="E48" s="52">
        <f>VLOOKUP(C48,Active!C$21:E$973,3,FALSE)</f>
        <v>2783.0149500277562</v>
      </c>
      <c r="F48" s="5" t="s">
        <v>56</v>
      </c>
      <c r="G48" s="17" t="str">
        <f t="shared" si="10"/>
        <v>37614.476</v>
      </c>
      <c r="H48" s="10">
        <f t="shared" si="11"/>
        <v>2783</v>
      </c>
      <c r="I48" s="53" t="s">
        <v>133</v>
      </c>
      <c r="J48" s="54" t="s">
        <v>134</v>
      </c>
      <c r="K48" s="53">
        <v>2783</v>
      </c>
      <c r="L48" s="53" t="s">
        <v>135</v>
      </c>
      <c r="M48" s="54" t="s">
        <v>61</v>
      </c>
      <c r="N48" s="54"/>
      <c r="O48" s="55" t="s">
        <v>116</v>
      </c>
      <c r="P48" s="55" t="s">
        <v>117</v>
      </c>
    </row>
    <row r="49" spans="1:16" ht="12.75" customHeight="1" thickBot="1" x14ac:dyDescent="0.25">
      <c r="A49" s="10" t="str">
        <f t="shared" si="6"/>
        <v> MHAR 11.5 </v>
      </c>
      <c r="B49" s="5" t="str">
        <f t="shared" si="7"/>
        <v>I</v>
      </c>
      <c r="C49" s="10">
        <f t="shared" si="8"/>
        <v>37935.497000000003</v>
      </c>
      <c r="D49" s="17" t="str">
        <f t="shared" si="9"/>
        <v>vis</v>
      </c>
      <c r="E49" s="52">
        <f>VLOOKUP(C49,Active!C$21:E$973,3,FALSE)</f>
        <v>2876.0174451996927</v>
      </c>
      <c r="F49" s="5" t="s">
        <v>56</v>
      </c>
      <c r="G49" s="17" t="str">
        <f t="shared" si="10"/>
        <v>37935.497</v>
      </c>
      <c r="H49" s="10">
        <f t="shared" si="11"/>
        <v>2876</v>
      </c>
      <c r="I49" s="53" t="s">
        <v>136</v>
      </c>
      <c r="J49" s="54" t="s">
        <v>137</v>
      </c>
      <c r="K49" s="53">
        <v>2876</v>
      </c>
      <c r="L49" s="53" t="s">
        <v>138</v>
      </c>
      <c r="M49" s="54" t="s">
        <v>61</v>
      </c>
      <c r="N49" s="54"/>
      <c r="O49" s="55" t="s">
        <v>116</v>
      </c>
      <c r="P49" s="55" t="s">
        <v>117</v>
      </c>
    </row>
    <row r="50" spans="1:16" ht="12.75" customHeight="1" thickBot="1" x14ac:dyDescent="0.25">
      <c r="A50" s="10" t="str">
        <f t="shared" si="6"/>
        <v> MHAR 11.5 </v>
      </c>
      <c r="B50" s="5" t="str">
        <f t="shared" si="7"/>
        <v>I</v>
      </c>
      <c r="C50" s="10">
        <f t="shared" si="8"/>
        <v>38049.303</v>
      </c>
      <c r="D50" s="17" t="str">
        <f t="shared" si="9"/>
        <v>vis</v>
      </c>
      <c r="E50" s="52">
        <f>VLOOKUP(C50,Active!C$21:E$973,3,FALSE)</f>
        <v>2908.9880046507478</v>
      </c>
      <c r="F50" s="5" t="s">
        <v>56</v>
      </c>
      <c r="G50" s="17" t="str">
        <f t="shared" si="10"/>
        <v>38049.303</v>
      </c>
      <c r="H50" s="10">
        <f t="shared" si="11"/>
        <v>2909</v>
      </c>
      <c r="I50" s="53" t="s">
        <v>139</v>
      </c>
      <c r="J50" s="54" t="s">
        <v>140</v>
      </c>
      <c r="K50" s="53">
        <v>2909</v>
      </c>
      <c r="L50" s="53" t="s">
        <v>141</v>
      </c>
      <c r="M50" s="54" t="s">
        <v>61</v>
      </c>
      <c r="N50" s="54"/>
      <c r="O50" s="55" t="s">
        <v>116</v>
      </c>
      <c r="P50" s="55" t="s">
        <v>117</v>
      </c>
    </row>
    <row r="51" spans="1:16" ht="12.75" customHeight="1" thickBot="1" x14ac:dyDescent="0.25">
      <c r="A51" s="10" t="str">
        <f t="shared" si="6"/>
        <v> MHAR 11.5 </v>
      </c>
      <c r="B51" s="5" t="str">
        <f t="shared" si="7"/>
        <v>I</v>
      </c>
      <c r="C51" s="10">
        <f t="shared" si="8"/>
        <v>38287.510999999999</v>
      </c>
      <c r="D51" s="17" t="str">
        <f t="shared" si="9"/>
        <v>vis</v>
      </c>
      <c r="E51" s="52">
        <f>VLOOKUP(C51,Active!C$21:E$973,3,FALSE)</f>
        <v>2977.9988742509186</v>
      </c>
      <c r="F51" s="5" t="s">
        <v>56</v>
      </c>
      <c r="G51" s="17" t="str">
        <f t="shared" si="10"/>
        <v>38287.511</v>
      </c>
      <c r="H51" s="10">
        <f t="shared" si="11"/>
        <v>2978</v>
      </c>
      <c r="I51" s="53" t="s">
        <v>142</v>
      </c>
      <c r="J51" s="54" t="s">
        <v>143</v>
      </c>
      <c r="K51" s="53">
        <v>2978</v>
      </c>
      <c r="L51" s="53" t="s">
        <v>144</v>
      </c>
      <c r="M51" s="54" t="s">
        <v>61</v>
      </c>
      <c r="N51" s="54"/>
      <c r="O51" s="55" t="s">
        <v>116</v>
      </c>
      <c r="P51" s="55" t="s">
        <v>117</v>
      </c>
    </row>
    <row r="52" spans="1:16" ht="12.75" customHeight="1" thickBot="1" x14ac:dyDescent="0.25">
      <c r="A52" s="10" t="str">
        <f t="shared" si="6"/>
        <v> MHAR 11.5 </v>
      </c>
      <c r="B52" s="5" t="str">
        <f t="shared" si="7"/>
        <v>I</v>
      </c>
      <c r="C52" s="10">
        <f t="shared" si="8"/>
        <v>38325.482000000004</v>
      </c>
      <c r="D52" s="17" t="str">
        <f t="shared" si="9"/>
        <v>vis</v>
      </c>
      <c r="E52" s="52">
        <f>VLOOKUP(C52,Active!C$21:E$973,3,FALSE)</f>
        <v>2988.9993936691935</v>
      </c>
      <c r="F52" s="5" t="s">
        <v>56</v>
      </c>
      <c r="G52" s="17" t="str">
        <f t="shared" si="10"/>
        <v>38325.482</v>
      </c>
      <c r="H52" s="10">
        <f t="shared" si="11"/>
        <v>2989</v>
      </c>
      <c r="I52" s="53" t="s">
        <v>145</v>
      </c>
      <c r="J52" s="54" t="s">
        <v>146</v>
      </c>
      <c r="K52" s="53">
        <v>2989</v>
      </c>
      <c r="L52" s="53" t="s">
        <v>147</v>
      </c>
      <c r="M52" s="54" t="s">
        <v>61</v>
      </c>
      <c r="N52" s="54"/>
      <c r="O52" s="55" t="s">
        <v>116</v>
      </c>
      <c r="P52" s="55" t="s">
        <v>117</v>
      </c>
    </row>
    <row r="53" spans="1:16" ht="12.75" customHeight="1" thickBot="1" x14ac:dyDescent="0.25">
      <c r="A53" s="10" t="str">
        <f t="shared" si="6"/>
        <v> MHAR 11.5 </v>
      </c>
      <c r="B53" s="5" t="str">
        <f t="shared" si="7"/>
        <v>I</v>
      </c>
      <c r="C53" s="10">
        <f t="shared" si="8"/>
        <v>38584.506000000001</v>
      </c>
      <c r="D53" s="17" t="str">
        <f t="shared" si="9"/>
        <v>vis</v>
      </c>
      <c r="E53" s="52">
        <f>VLOOKUP(C53,Active!C$21:E$973,3,FALSE)</f>
        <v>3064.0408342896371</v>
      </c>
      <c r="F53" s="5" t="s">
        <v>56</v>
      </c>
      <c r="G53" s="17" t="str">
        <f t="shared" si="10"/>
        <v>38584.506</v>
      </c>
      <c r="H53" s="10">
        <f t="shared" si="11"/>
        <v>3064</v>
      </c>
      <c r="I53" s="53" t="s">
        <v>148</v>
      </c>
      <c r="J53" s="54" t="s">
        <v>149</v>
      </c>
      <c r="K53" s="53">
        <v>3064</v>
      </c>
      <c r="L53" s="53" t="s">
        <v>150</v>
      </c>
      <c r="M53" s="54" t="s">
        <v>61</v>
      </c>
      <c r="N53" s="54"/>
      <c r="O53" s="55" t="s">
        <v>116</v>
      </c>
      <c r="P53" s="55" t="s">
        <v>117</v>
      </c>
    </row>
    <row r="54" spans="1:16" ht="12.75" customHeight="1" thickBot="1" x14ac:dyDescent="0.25">
      <c r="A54" s="10" t="str">
        <f t="shared" si="6"/>
        <v> MHAR 11.5 </v>
      </c>
      <c r="B54" s="5" t="str">
        <f t="shared" si="7"/>
        <v>I</v>
      </c>
      <c r="C54" s="10">
        <f t="shared" si="8"/>
        <v>38781.243999999999</v>
      </c>
      <c r="D54" s="17" t="str">
        <f t="shared" si="9"/>
        <v>vis</v>
      </c>
      <c r="E54" s="52">
        <f>VLOOKUP(C54,Active!C$21:E$973,3,FALSE)</f>
        <v>3121.0374946175789</v>
      </c>
      <c r="F54" s="5" t="s">
        <v>56</v>
      </c>
      <c r="G54" s="17" t="str">
        <f t="shared" si="10"/>
        <v>38781.244</v>
      </c>
      <c r="H54" s="10">
        <f t="shared" si="11"/>
        <v>3121</v>
      </c>
      <c r="I54" s="53" t="s">
        <v>151</v>
      </c>
      <c r="J54" s="54" t="s">
        <v>152</v>
      </c>
      <c r="K54" s="53">
        <v>3121</v>
      </c>
      <c r="L54" s="53" t="s">
        <v>153</v>
      </c>
      <c r="M54" s="54" t="s">
        <v>61</v>
      </c>
      <c r="N54" s="54"/>
      <c r="O54" s="55" t="s">
        <v>116</v>
      </c>
      <c r="P54" s="55" t="s">
        <v>117</v>
      </c>
    </row>
    <row r="55" spans="1:16" ht="12.75" customHeight="1" thickBot="1" x14ac:dyDescent="0.25">
      <c r="A55" s="10" t="str">
        <f t="shared" si="6"/>
        <v> MHAR 11.5 </v>
      </c>
      <c r="B55" s="5" t="str">
        <f t="shared" si="7"/>
        <v>I</v>
      </c>
      <c r="C55" s="10">
        <f t="shared" si="8"/>
        <v>38998.54</v>
      </c>
      <c r="D55" s="17" t="str">
        <f t="shared" si="9"/>
        <v>vis</v>
      </c>
      <c r="E55" s="52">
        <f>VLOOKUP(C55,Active!C$21:E$973,3,FALSE)</f>
        <v>3183.9899811866235</v>
      </c>
      <c r="F55" s="5" t="s">
        <v>56</v>
      </c>
      <c r="G55" s="17" t="str">
        <f t="shared" si="10"/>
        <v>38998.540</v>
      </c>
      <c r="H55" s="10">
        <f t="shared" si="11"/>
        <v>3184</v>
      </c>
      <c r="I55" s="53" t="s">
        <v>154</v>
      </c>
      <c r="J55" s="54" t="s">
        <v>155</v>
      </c>
      <c r="K55" s="53">
        <v>3184</v>
      </c>
      <c r="L55" s="53" t="s">
        <v>115</v>
      </c>
      <c r="M55" s="54" t="s">
        <v>61</v>
      </c>
      <c r="N55" s="54"/>
      <c r="O55" s="55" t="s">
        <v>116</v>
      </c>
      <c r="P55" s="55" t="s">
        <v>117</v>
      </c>
    </row>
    <row r="56" spans="1:16" ht="12.75" customHeight="1" thickBot="1" x14ac:dyDescent="0.25">
      <c r="A56" s="10" t="str">
        <f t="shared" si="6"/>
        <v> MHAR 11.5 </v>
      </c>
      <c r="B56" s="5" t="str">
        <f t="shared" si="7"/>
        <v>I</v>
      </c>
      <c r="C56" s="10">
        <f t="shared" si="8"/>
        <v>39029.565999999999</v>
      </c>
      <c r="D56" s="17" t="str">
        <f t="shared" si="9"/>
        <v>vis</v>
      </c>
      <c r="E56" s="52">
        <f>VLOOKUP(C56,Active!C$21:E$973,3,FALSE)</f>
        <v>3192.978475444645</v>
      </c>
      <c r="F56" s="5" t="s">
        <v>56</v>
      </c>
      <c r="G56" s="17" t="str">
        <f t="shared" si="10"/>
        <v>39029.566</v>
      </c>
      <c r="H56" s="10">
        <f t="shared" si="11"/>
        <v>3193</v>
      </c>
      <c r="I56" s="53" t="s">
        <v>156</v>
      </c>
      <c r="J56" s="54" t="s">
        <v>157</v>
      </c>
      <c r="K56" s="53">
        <v>3193</v>
      </c>
      <c r="L56" s="53" t="s">
        <v>158</v>
      </c>
      <c r="M56" s="54" t="s">
        <v>61</v>
      </c>
      <c r="N56" s="54"/>
      <c r="O56" s="55" t="s">
        <v>116</v>
      </c>
      <c r="P56" s="55" t="s">
        <v>117</v>
      </c>
    </row>
    <row r="57" spans="1:16" ht="12.75" customHeight="1" thickBot="1" x14ac:dyDescent="0.25">
      <c r="A57" s="10" t="str">
        <f t="shared" si="6"/>
        <v> MHAR 11.5 </v>
      </c>
      <c r="B57" s="5" t="str">
        <f t="shared" si="7"/>
        <v>I</v>
      </c>
      <c r="C57" s="10">
        <f t="shared" si="8"/>
        <v>39057.345999999998</v>
      </c>
      <c r="D57" s="17" t="str">
        <f t="shared" si="9"/>
        <v>vis</v>
      </c>
      <c r="E57" s="52">
        <f>VLOOKUP(C57,Active!C$21:E$973,3,FALSE)</f>
        <v>3201.0265760856505</v>
      </c>
      <c r="F57" s="5" t="s">
        <v>56</v>
      </c>
      <c r="G57" s="17" t="str">
        <f t="shared" si="10"/>
        <v>39057.346</v>
      </c>
      <c r="H57" s="10">
        <f t="shared" si="11"/>
        <v>3201</v>
      </c>
      <c r="I57" s="53" t="s">
        <v>159</v>
      </c>
      <c r="J57" s="54" t="s">
        <v>160</v>
      </c>
      <c r="K57" s="53">
        <v>3201</v>
      </c>
      <c r="L57" s="53" t="s">
        <v>161</v>
      </c>
      <c r="M57" s="54" t="s">
        <v>61</v>
      </c>
      <c r="N57" s="54"/>
      <c r="O57" s="55" t="s">
        <v>116</v>
      </c>
      <c r="P57" s="55" t="s">
        <v>117</v>
      </c>
    </row>
    <row r="58" spans="1:16" ht="12.75" customHeight="1" thickBot="1" x14ac:dyDescent="0.25">
      <c r="A58" s="10" t="str">
        <f t="shared" si="6"/>
        <v> MHAR 11.5 </v>
      </c>
      <c r="B58" s="5" t="str">
        <f t="shared" si="7"/>
        <v>I</v>
      </c>
      <c r="C58" s="10">
        <f t="shared" si="8"/>
        <v>39088.256000000001</v>
      </c>
      <c r="D58" s="17" t="str">
        <f t="shared" si="9"/>
        <v>vis</v>
      </c>
      <c r="E58" s="52">
        <f>VLOOKUP(C58,Active!C$21:E$973,3,FALSE)</f>
        <v>3209.9814641638914</v>
      </c>
      <c r="F58" s="5" t="s">
        <v>56</v>
      </c>
      <c r="G58" s="17" t="str">
        <f t="shared" si="10"/>
        <v>39088.256</v>
      </c>
      <c r="H58" s="10">
        <f t="shared" si="11"/>
        <v>3210</v>
      </c>
      <c r="I58" s="53" t="s">
        <v>162</v>
      </c>
      <c r="J58" s="54" t="s">
        <v>163</v>
      </c>
      <c r="K58" s="53">
        <v>3210</v>
      </c>
      <c r="L58" s="53" t="s">
        <v>164</v>
      </c>
      <c r="M58" s="54" t="s">
        <v>61</v>
      </c>
      <c r="N58" s="54"/>
      <c r="O58" s="55" t="s">
        <v>116</v>
      </c>
      <c r="P58" s="55" t="s">
        <v>117</v>
      </c>
    </row>
    <row r="59" spans="1:16" ht="12.75" customHeight="1" thickBot="1" x14ac:dyDescent="0.25">
      <c r="A59" s="10" t="str">
        <f t="shared" si="6"/>
        <v> MHAR 11.5 </v>
      </c>
      <c r="B59" s="5" t="str">
        <f t="shared" si="7"/>
        <v>I</v>
      </c>
      <c r="C59" s="10">
        <f t="shared" si="8"/>
        <v>39233.355000000003</v>
      </c>
      <c r="D59" s="17" t="str">
        <f t="shared" si="9"/>
        <v>vis</v>
      </c>
      <c r="E59" s="52">
        <f>VLOOKUP(C59,Active!C$21:E$973,3,FALSE)</f>
        <v>3252.0178700281585</v>
      </c>
      <c r="F59" s="5" t="s">
        <v>56</v>
      </c>
      <c r="G59" s="17" t="str">
        <f t="shared" si="10"/>
        <v>39233.355</v>
      </c>
      <c r="H59" s="10">
        <f t="shared" si="11"/>
        <v>3252</v>
      </c>
      <c r="I59" s="53" t="s">
        <v>165</v>
      </c>
      <c r="J59" s="54" t="s">
        <v>166</v>
      </c>
      <c r="K59" s="53">
        <v>3252</v>
      </c>
      <c r="L59" s="53" t="s">
        <v>167</v>
      </c>
      <c r="M59" s="54" t="s">
        <v>61</v>
      </c>
      <c r="N59" s="54"/>
      <c r="O59" s="55" t="s">
        <v>116</v>
      </c>
      <c r="P59" s="55" t="s">
        <v>117</v>
      </c>
    </row>
    <row r="60" spans="1:16" ht="12.75" customHeight="1" thickBot="1" x14ac:dyDescent="0.25">
      <c r="A60" s="10" t="str">
        <f t="shared" si="6"/>
        <v> MHAR 11.5 </v>
      </c>
      <c r="B60" s="5" t="str">
        <f t="shared" si="7"/>
        <v>I</v>
      </c>
      <c r="C60" s="10">
        <f t="shared" si="8"/>
        <v>40151.375999999997</v>
      </c>
      <c r="D60" s="17" t="str">
        <f t="shared" si="9"/>
        <v>vis</v>
      </c>
      <c r="E60" s="52">
        <f>VLOOKUP(C60,Active!C$21:E$973,3,FALSE)</f>
        <v>3517.9763077011944</v>
      </c>
      <c r="F60" s="5" t="s">
        <v>56</v>
      </c>
      <c r="G60" s="17" t="str">
        <f t="shared" si="10"/>
        <v>40151.376</v>
      </c>
      <c r="H60" s="10">
        <f t="shared" si="11"/>
        <v>3518</v>
      </c>
      <c r="I60" s="53" t="s">
        <v>168</v>
      </c>
      <c r="J60" s="54" t="s">
        <v>169</v>
      </c>
      <c r="K60" s="53">
        <v>3518</v>
      </c>
      <c r="L60" s="53" t="s">
        <v>170</v>
      </c>
      <c r="M60" s="54" t="s">
        <v>61</v>
      </c>
      <c r="N60" s="54"/>
      <c r="O60" s="55" t="s">
        <v>116</v>
      </c>
      <c r="P60" s="55" t="s">
        <v>117</v>
      </c>
    </row>
    <row r="61" spans="1:16" ht="12.75" customHeight="1" thickBot="1" x14ac:dyDescent="0.25">
      <c r="A61" s="10" t="str">
        <f t="shared" si="6"/>
        <v> MHAR 11.5 </v>
      </c>
      <c r="B61" s="5" t="str">
        <f t="shared" si="7"/>
        <v>I</v>
      </c>
      <c r="C61" s="10">
        <f t="shared" si="8"/>
        <v>40824.463000000003</v>
      </c>
      <c r="D61" s="17" t="str">
        <f t="shared" si="9"/>
        <v>vis</v>
      </c>
      <c r="E61" s="52">
        <f>VLOOKUP(C61,Active!C$21:E$973,3,FALSE)</f>
        <v>3712.9752967635723</v>
      </c>
      <c r="F61" s="5" t="s">
        <v>56</v>
      </c>
      <c r="G61" s="17" t="str">
        <f t="shared" si="10"/>
        <v>40824.463</v>
      </c>
      <c r="H61" s="10">
        <f t="shared" si="11"/>
        <v>3713</v>
      </c>
      <c r="I61" s="53" t="s">
        <v>171</v>
      </c>
      <c r="J61" s="54" t="s">
        <v>172</v>
      </c>
      <c r="K61" s="53">
        <v>3713</v>
      </c>
      <c r="L61" s="53" t="s">
        <v>173</v>
      </c>
      <c r="M61" s="54" t="s">
        <v>61</v>
      </c>
      <c r="N61" s="54"/>
      <c r="O61" s="55" t="s">
        <v>116</v>
      </c>
      <c r="P61" s="55" t="s">
        <v>117</v>
      </c>
    </row>
    <row r="62" spans="1:16" ht="12.75" customHeight="1" thickBot="1" x14ac:dyDescent="0.25">
      <c r="A62" s="10" t="str">
        <f t="shared" si="6"/>
        <v> MHAR 11.5 </v>
      </c>
      <c r="B62" s="5" t="str">
        <f t="shared" si="7"/>
        <v>I</v>
      </c>
      <c r="C62" s="10">
        <f t="shared" si="8"/>
        <v>40831.527999999998</v>
      </c>
      <c r="D62" s="17" t="str">
        <f t="shared" si="9"/>
        <v>vis</v>
      </c>
      <c r="E62" s="52">
        <f>VLOOKUP(C62,Active!C$21:E$973,3,FALSE)</f>
        <v>3715.0220869373907</v>
      </c>
      <c r="F62" s="5" t="s">
        <v>56</v>
      </c>
      <c r="G62" s="17" t="str">
        <f t="shared" si="10"/>
        <v>40831.528</v>
      </c>
      <c r="H62" s="10">
        <f t="shared" si="11"/>
        <v>3715</v>
      </c>
      <c r="I62" s="53" t="s">
        <v>174</v>
      </c>
      <c r="J62" s="54" t="s">
        <v>175</v>
      </c>
      <c r="K62" s="53">
        <v>3715</v>
      </c>
      <c r="L62" s="53" t="s">
        <v>176</v>
      </c>
      <c r="M62" s="54" t="s">
        <v>61</v>
      </c>
      <c r="N62" s="54"/>
      <c r="O62" s="55" t="s">
        <v>116</v>
      </c>
      <c r="P62" s="55" t="s">
        <v>117</v>
      </c>
    </row>
    <row r="63" spans="1:16" ht="12.75" customHeight="1" thickBot="1" x14ac:dyDescent="0.25">
      <c r="A63" s="10" t="str">
        <f t="shared" si="6"/>
        <v> MHAR 11.5 </v>
      </c>
      <c r="B63" s="5" t="str">
        <f t="shared" si="7"/>
        <v>I</v>
      </c>
      <c r="C63" s="10">
        <f t="shared" si="8"/>
        <v>40862.347000000002</v>
      </c>
      <c r="D63" s="17" t="str">
        <f t="shared" si="9"/>
        <v>vis</v>
      </c>
      <c r="E63" s="52">
        <f>VLOOKUP(C63,Active!C$21:E$973,3,FALSE)</f>
        <v>3723.9506115470085</v>
      </c>
      <c r="F63" s="5" t="s">
        <v>56</v>
      </c>
      <c r="G63" s="17" t="str">
        <f t="shared" si="10"/>
        <v>40862.347</v>
      </c>
      <c r="H63" s="10">
        <f t="shared" si="11"/>
        <v>3724</v>
      </c>
      <c r="I63" s="53" t="s">
        <v>177</v>
      </c>
      <c r="J63" s="54" t="s">
        <v>178</v>
      </c>
      <c r="K63" s="53">
        <v>3724</v>
      </c>
      <c r="L63" s="53" t="s">
        <v>179</v>
      </c>
      <c r="M63" s="54" t="s">
        <v>61</v>
      </c>
      <c r="N63" s="54"/>
      <c r="O63" s="55" t="s">
        <v>116</v>
      </c>
      <c r="P63" s="55" t="s">
        <v>117</v>
      </c>
    </row>
    <row r="64" spans="1:16" ht="12.75" customHeight="1" thickBot="1" x14ac:dyDescent="0.25">
      <c r="A64" s="10" t="str">
        <f t="shared" si="6"/>
        <v> MHAR 11.5 </v>
      </c>
      <c r="B64" s="5" t="str">
        <f t="shared" si="7"/>
        <v>I</v>
      </c>
      <c r="C64" s="10">
        <f t="shared" si="8"/>
        <v>41183.410000000003</v>
      </c>
      <c r="D64" s="17" t="str">
        <f t="shared" si="9"/>
        <v>vis</v>
      </c>
      <c r="E64" s="52">
        <f>VLOOKUP(C64,Active!C$21:E$973,3,FALSE)</f>
        <v>3816.9652744736945</v>
      </c>
      <c r="F64" s="5" t="s">
        <v>56</v>
      </c>
      <c r="G64" s="17" t="str">
        <f t="shared" si="10"/>
        <v>41183.410</v>
      </c>
      <c r="H64" s="10">
        <f t="shared" si="11"/>
        <v>3817</v>
      </c>
      <c r="I64" s="53" t="s">
        <v>180</v>
      </c>
      <c r="J64" s="54" t="s">
        <v>181</v>
      </c>
      <c r="K64" s="53">
        <v>3817</v>
      </c>
      <c r="L64" s="53" t="s">
        <v>182</v>
      </c>
      <c r="M64" s="54" t="s">
        <v>61</v>
      </c>
      <c r="N64" s="54"/>
      <c r="O64" s="55" t="s">
        <v>116</v>
      </c>
      <c r="P64" s="55" t="s">
        <v>117</v>
      </c>
    </row>
    <row r="65" spans="1:16" ht="12.75" customHeight="1" thickBot="1" x14ac:dyDescent="0.25">
      <c r="A65" s="10" t="str">
        <f t="shared" si="6"/>
        <v> MHAR 11.5 </v>
      </c>
      <c r="B65" s="5" t="str">
        <f t="shared" si="7"/>
        <v>I</v>
      </c>
      <c r="C65" s="10">
        <f t="shared" si="8"/>
        <v>41197.33</v>
      </c>
      <c r="D65" s="17" t="str">
        <f t="shared" si="9"/>
        <v>vis</v>
      </c>
      <c r="E65" s="52">
        <f>VLOOKUP(C65,Active!C$21:E$973,3,FALSE)</f>
        <v>3820.9980160475889</v>
      </c>
      <c r="F65" s="5" t="s">
        <v>56</v>
      </c>
      <c r="G65" s="17" t="str">
        <f t="shared" si="10"/>
        <v>41197.330</v>
      </c>
      <c r="H65" s="10">
        <f t="shared" si="11"/>
        <v>3821</v>
      </c>
      <c r="I65" s="53" t="s">
        <v>183</v>
      </c>
      <c r="J65" s="54" t="s">
        <v>184</v>
      </c>
      <c r="K65" s="53">
        <v>3821</v>
      </c>
      <c r="L65" s="53" t="s">
        <v>185</v>
      </c>
      <c r="M65" s="54" t="s">
        <v>61</v>
      </c>
      <c r="N65" s="54"/>
      <c r="O65" s="55" t="s">
        <v>116</v>
      </c>
      <c r="P65" s="55" t="s">
        <v>117</v>
      </c>
    </row>
    <row r="66" spans="1:16" ht="12.75" customHeight="1" thickBot="1" x14ac:dyDescent="0.25">
      <c r="A66" s="10" t="str">
        <f t="shared" si="6"/>
        <v> MHAR 11.5 </v>
      </c>
      <c r="B66" s="5" t="str">
        <f t="shared" si="7"/>
        <v>I</v>
      </c>
      <c r="C66" s="10">
        <f t="shared" si="8"/>
        <v>41252.39</v>
      </c>
      <c r="D66" s="17" t="str">
        <f t="shared" si="9"/>
        <v>vis</v>
      </c>
      <c r="E66" s="52">
        <f>VLOOKUP(C66,Active!C$21:E$973,3,FALSE)</f>
        <v>3836.9493631064001</v>
      </c>
      <c r="F66" s="5" t="s">
        <v>56</v>
      </c>
      <c r="G66" s="17" t="str">
        <f t="shared" si="10"/>
        <v>41252.390</v>
      </c>
      <c r="H66" s="10">
        <f t="shared" si="11"/>
        <v>3837</v>
      </c>
      <c r="I66" s="53" t="s">
        <v>186</v>
      </c>
      <c r="J66" s="54" t="s">
        <v>187</v>
      </c>
      <c r="K66" s="53">
        <v>3837</v>
      </c>
      <c r="L66" s="53" t="s">
        <v>188</v>
      </c>
      <c r="M66" s="54" t="s">
        <v>61</v>
      </c>
      <c r="N66" s="54"/>
      <c r="O66" s="55" t="s">
        <v>116</v>
      </c>
      <c r="P66" s="55" t="s">
        <v>117</v>
      </c>
    </row>
    <row r="67" spans="1:16" ht="12.75" customHeight="1" thickBot="1" x14ac:dyDescent="0.25">
      <c r="A67" s="10" t="str">
        <f t="shared" si="6"/>
        <v> MHAR 11.5 </v>
      </c>
      <c r="B67" s="5" t="str">
        <f t="shared" si="7"/>
        <v>I</v>
      </c>
      <c r="C67" s="10">
        <f t="shared" si="8"/>
        <v>41266.389000000003</v>
      </c>
      <c r="D67" s="17" t="str">
        <f t="shared" si="9"/>
        <v>vis</v>
      </c>
      <c r="E67" s="52">
        <f>VLOOKUP(C67,Active!C$21:E$973,3,FALSE)</f>
        <v>3841.0049916475618</v>
      </c>
      <c r="F67" s="5" t="s">
        <v>56</v>
      </c>
      <c r="G67" s="17" t="str">
        <f t="shared" si="10"/>
        <v>41266.389</v>
      </c>
      <c r="H67" s="10">
        <f t="shared" si="11"/>
        <v>3841</v>
      </c>
      <c r="I67" s="53" t="s">
        <v>189</v>
      </c>
      <c r="J67" s="54" t="s">
        <v>190</v>
      </c>
      <c r="K67" s="53">
        <v>3841</v>
      </c>
      <c r="L67" s="53" t="s">
        <v>191</v>
      </c>
      <c r="M67" s="54" t="s">
        <v>61</v>
      </c>
      <c r="N67" s="54"/>
      <c r="O67" s="55" t="s">
        <v>116</v>
      </c>
      <c r="P67" s="55" t="s">
        <v>117</v>
      </c>
    </row>
    <row r="68" spans="1:16" ht="12.75" customHeight="1" thickBot="1" x14ac:dyDescent="0.25">
      <c r="A68" s="10" t="str">
        <f t="shared" si="6"/>
        <v> MHAR 11.5 </v>
      </c>
      <c r="B68" s="5" t="str">
        <f t="shared" si="7"/>
        <v>I</v>
      </c>
      <c r="C68" s="10">
        <f t="shared" si="8"/>
        <v>41335.341</v>
      </c>
      <c r="D68" s="17" t="str">
        <f t="shared" si="9"/>
        <v>vis</v>
      </c>
      <c r="E68" s="52">
        <f>VLOOKUP(C68,Active!C$21:E$973,3,FALSE)</f>
        <v>3860.9809684437687</v>
      </c>
      <c r="F68" s="5" t="s">
        <v>56</v>
      </c>
      <c r="G68" s="17" t="str">
        <f t="shared" si="10"/>
        <v>41335.341</v>
      </c>
      <c r="H68" s="10">
        <f t="shared" si="11"/>
        <v>3861</v>
      </c>
      <c r="I68" s="53" t="s">
        <v>192</v>
      </c>
      <c r="J68" s="54" t="s">
        <v>193</v>
      </c>
      <c r="K68" s="53">
        <v>3861</v>
      </c>
      <c r="L68" s="53" t="s">
        <v>194</v>
      </c>
      <c r="M68" s="54" t="s">
        <v>61</v>
      </c>
      <c r="N68" s="54"/>
      <c r="O68" s="55" t="s">
        <v>116</v>
      </c>
      <c r="P68" s="55" t="s">
        <v>117</v>
      </c>
    </row>
    <row r="69" spans="1:16" ht="12.75" customHeight="1" thickBot="1" x14ac:dyDescent="0.25">
      <c r="A69" s="10" t="str">
        <f t="shared" si="6"/>
        <v> MHAR 11.5 </v>
      </c>
      <c r="B69" s="5" t="str">
        <f t="shared" si="7"/>
        <v>I</v>
      </c>
      <c r="C69" s="10">
        <f t="shared" si="8"/>
        <v>41573.512000000002</v>
      </c>
      <c r="D69" s="17" t="str">
        <f t="shared" si="9"/>
        <v>vis</v>
      </c>
      <c r="E69" s="52">
        <f>VLOOKUP(C69,Active!C$21:E$973,3,FALSE)</f>
        <v>3929.9811188314238</v>
      </c>
      <c r="F69" s="5" t="s">
        <v>56</v>
      </c>
      <c r="G69" s="17" t="str">
        <f t="shared" si="10"/>
        <v>41573.512</v>
      </c>
      <c r="H69" s="10">
        <f t="shared" si="11"/>
        <v>3930</v>
      </c>
      <c r="I69" s="53" t="s">
        <v>195</v>
      </c>
      <c r="J69" s="54" t="s">
        <v>196</v>
      </c>
      <c r="K69" s="53">
        <v>3930</v>
      </c>
      <c r="L69" s="53" t="s">
        <v>197</v>
      </c>
      <c r="M69" s="54" t="s">
        <v>61</v>
      </c>
      <c r="N69" s="54"/>
      <c r="O69" s="55" t="s">
        <v>116</v>
      </c>
      <c r="P69" s="55" t="s">
        <v>117</v>
      </c>
    </row>
    <row r="70" spans="1:16" ht="12.75" customHeight="1" thickBot="1" x14ac:dyDescent="0.25">
      <c r="A70" s="10" t="str">
        <f t="shared" si="6"/>
        <v> MHAR 11.5 </v>
      </c>
      <c r="B70" s="5" t="str">
        <f t="shared" si="7"/>
        <v>I</v>
      </c>
      <c r="C70" s="10">
        <f t="shared" si="8"/>
        <v>41932.574000000001</v>
      </c>
      <c r="D70" s="17" t="str">
        <f t="shared" si="9"/>
        <v>vis</v>
      </c>
      <c r="E70" s="52">
        <f>VLOOKUP(C70,Active!C$21:E$973,3,FALSE)</f>
        <v>4034.0044130128808</v>
      </c>
      <c r="F70" s="5" t="s">
        <v>56</v>
      </c>
      <c r="G70" s="17" t="str">
        <f t="shared" si="10"/>
        <v>41932.574</v>
      </c>
      <c r="H70" s="10">
        <f t="shared" si="11"/>
        <v>4034</v>
      </c>
      <c r="I70" s="53" t="s">
        <v>198</v>
      </c>
      <c r="J70" s="54" t="s">
        <v>199</v>
      </c>
      <c r="K70" s="53">
        <v>4034</v>
      </c>
      <c r="L70" s="53" t="s">
        <v>126</v>
      </c>
      <c r="M70" s="54" t="s">
        <v>61</v>
      </c>
      <c r="N70" s="54"/>
      <c r="O70" s="55" t="s">
        <v>116</v>
      </c>
      <c r="P70" s="55" t="s">
        <v>117</v>
      </c>
    </row>
    <row r="71" spans="1:16" ht="12.75" customHeight="1" thickBot="1" x14ac:dyDescent="0.25">
      <c r="A71" s="10" t="str">
        <f t="shared" si="6"/>
        <v> MVS 8.79 </v>
      </c>
      <c r="B71" s="5" t="str">
        <f t="shared" si="7"/>
        <v>I</v>
      </c>
      <c r="C71" s="10">
        <f t="shared" si="8"/>
        <v>43482.358999999997</v>
      </c>
      <c r="D71" s="17" t="str">
        <f t="shared" si="9"/>
        <v>vis</v>
      </c>
      <c r="E71" s="52">
        <f>VLOOKUP(C71,Active!C$21:E$973,3,FALSE)</f>
        <v>4482.9902176176856</v>
      </c>
      <c r="F71" s="5" t="s">
        <v>56</v>
      </c>
      <c r="G71" s="17" t="str">
        <f t="shared" si="10"/>
        <v>43482.359</v>
      </c>
      <c r="H71" s="10">
        <f t="shared" si="11"/>
        <v>4483</v>
      </c>
      <c r="I71" s="53" t="s">
        <v>200</v>
      </c>
      <c r="J71" s="54" t="s">
        <v>201</v>
      </c>
      <c r="K71" s="53">
        <v>4483</v>
      </c>
      <c r="L71" s="53" t="s">
        <v>202</v>
      </c>
      <c r="M71" s="54" t="s">
        <v>203</v>
      </c>
      <c r="N71" s="54"/>
      <c r="O71" s="55" t="s">
        <v>204</v>
      </c>
      <c r="P71" s="55" t="s">
        <v>205</v>
      </c>
    </row>
    <row r="72" spans="1:16" ht="12.75" customHeight="1" thickBot="1" x14ac:dyDescent="0.25">
      <c r="A72" s="10" t="str">
        <f t="shared" si="6"/>
        <v> MVS 8.79 </v>
      </c>
      <c r="B72" s="5" t="str">
        <f t="shared" si="7"/>
        <v>I</v>
      </c>
      <c r="C72" s="10">
        <f t="shared" si="8"/>
        <v>43489.275000000001</v>
      </c>
      <c r="D72" s="17" t="str">
        <f t="shared" si="9"/>
        <v>vis</v>
      </c>
      <c r="E72" s="52">
        <f>VLOOKUP(C72,Active!C$21:E$973,3,FALSE)</f>
        <v>4484.993841232993</v>
      </c>
      <c r="F72" s="5" t="s">
        <v>56</v>
      </c>
      <c r="G72" s="17" t="str">
        <f t="shared" si="10"/>
        <v>43489.275</v>
      </c>
      <c r="H72" s="10">
        <f t="shared" si="11"/>
        <v>4485</v>
      </c>
      <c r="I72" s="53" t="s">
        <v>206</v>
      </c>
      <c r="J72" s="54" t="s">
        <v>207</v>
      </c>
      <c r="K72" s="53">
        <v>4485</v>
      </c>
      <c r="L72" s="53" t="s">
        <v>208</v>
      </c>
      <c r="M72" s="54" t="s">
        <v>203</v>
      </c>
      <c r="N72" s="54"/>
      <c r="O72" s="55" t="s">
        <v>204</v>
      </c>
      <c r="P72" s="55" t="s">
        <v>205</v>
      </c>
    </row>
    <row r="73" spans="1:16" ht="12.75" customHeight="1" thickBot="1" x14ac:dyDescent="0.25">
      <c r="A73" s="10" t="str">
        <f t="shared" si="6"/>
        <v>BAVM 203 </v>
      </c>
      <c r="B73" s="5" t="str">
        <f t="shared" si="7"/>
        <v>I</v>
      </c>
      <c r="C73" s="10">
        <f t="shared" si="8"/>
        <v>54776.427799999998</v>
      </c>
      <c r="D73" s="17" t="str">
        <f t="shared" si="9"/>
        <v>vis</v>
      </c>
      <c r="E73" s="52">
        <f>VLOOKUP(C73,Active!C$21:E$973,3,FALSE)</f>
        <v>7754.9773432060947</v>
      </c>
      <c r="F73" s="5" t="s">
        <v>56</v>
      </c>
      <c r="G73" s="17" t="str">
        <f t="shared" si="10"/>
        <v>54776.4278</v>
      </c>
      <c r="H73" s="10">
        <f t="shared" si="11"/>
        <v>7755</v>
      </c>
      <c r="I73" s="53" t="s">
        <v>243</v>
      </c>
      <c r="J73" s="54" t="s">
        <v>244</v>
      </c>
      <c r="K73" s="53" t="s">
        <v>245</v>
      </c>
      <c r="L73" s="53" t="s">
        <v>246</v>
      </c>
      <c r="M73" s="54" t="s">
        <v>239</v>
      </c>
      <c r="N73" s="54" t="s">
        <v>240</v>
      </c>
      <c r="O73" s="55" t="s">
        <v>241</v>
      </c>
      <c r="P73" s="56" t="s">
        <v>247</v>
      </c>
    </row>
    <row r="74" spans="1:16" ht="12.75" customHeight="1" thickBot="1" x14ac:dyDescent="0.25">
      <c r="A74" s="10" t="str">
        <f t="shared" si="6"/>
        <v>BAVM 225 </v>
      </c>
      <c r="B74" s="5" t="str">
        <f t="shared" si="7"/>
        <v>I</v>
      </c>
      <c r="C74" s="10">
        <f t="shared" si="8"/>
        <v>55884.436199999996</v>
      </c>
      <c r="D74" s="17" t="str">
        <f t="shared" si="9"/>
        <v>vis</v>
      </c>
      <c r="E74" s="52">
        <f>VLOOKUP(C74,Active!C$21:E$973,3,FALSE)</f>
        <v>8075.976735368803</v>
      </c>
      <c r="F74" s="5" t="s">
        <v>56</v>
      </c>
      <c r="G74" s="17" t="str">
        <f t="shared" si="10"/>
        <v>55884.4362</v>
      </c>
      <c r="H74" s="10">
        <f t="shared" si="11"/>
        <v>8076</v>
      </c>
      <c r="I74" s="53" t="s">
        <v>259</v>
      </c>
      <c r="J74" s="54" t="s">
        <v>260</v>
      </c>
      <c r="K74" s="53" t="s">
        <v>261</v>
      </c>
      <c r="L74" s="53" t="s">
        <v>262</v>
      </c>
      <c r="M74" s="54" t="s">
        <v>239</v>
      </c>
      <c r="N74" s="54" t="s">
        <v>240</v>
      </c>
      <c r="O74" s="55" t="s">
        <v>263</v>
      </c>
      <c r="P74" s="56" t="s">
        <v>264</v>
      </c>
    </row>
    <row r="75" spans="1:16" x14ac:dyDescent="0.2">
      <c r="B75" s="5"/>
      <c r="F75" s="5"/>
    </row>
    <row r="76" spans="1:16" x14ac:dyDescent="0.2">
      <c r="B76" s="5"/>
      <c r="F76" s="5"/>
    </row>
    <row r="77" spans="1:16" x14ac:dyDescent="0.2">
      <c r="B77" s="5"/>
      <c r="F77" s="5"/>
    </row>
    <row r="78" spans="1:16" x14ac:dyDescent="0.2">
      <c r="B78" s="5"/>
      <c r="F78" s="5"/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</sheetData>
  <phoneticPr fontId="8" type="noConversion"/>
  <hyperlinks>
    <hyperlink ref="A3" r:id="rId1" xr:uid="{00000000-0004-0000-0100-000000000000}"/>
    <hyperlink ref="P11" r:id="rId2" display="http://www.bav-astro.de/sfs/BAVM_link.php?BAVMnr=152" xr:uid="{00000000-0004-0000-0100-000001000000}"/>
    <hyperlink ref="P12" r:id="rId3" display="http://www.bav-astro.de/sfs/BAVM_link.php?BAVMnr=152" xr:uid="{00000000-0004-0000-0100-000002000000}"/>
    <hyperlink ref="P13" r:id="rId4" display="http://www.bav-astro.de/sfs/BAVM_link.php?BAVMnr=158" xr:uid="{00000000-0004-0000-0100-000003000000}"/>
    <hyperlink ref="P14" r:id="rId5" display="http://www.bav-astro.de/sfs/BAVM_link.php?BAVMnr=158" xr:uid="{00000000-0004-0000-0100-000004000000}"/>
    <hyperlink ref="P15" r:id="rId6" display="http://www.bav-astro.de/sfs/BAVM_link.php?BAVMnr=172" xr:uid="{00000000-0004-0000-0100-000005000000}"/>
    <hyperlink ref="P16" r:id="rId7" display="http://www.bav-astro.de/sfs/BAVM_link.php?BAVMnr=172" xr:uid="{00000000-0004-0000-0100-000006000000}"/>
    <hyperlink ref="P17" r:id="rId8" display="http://www.bav-astro.de/sfs/BAVM_link.php?BAVMnr=183" xr:uid="{00000000-0004-0000-0100-000007000000}"/>
    <hyperlink ref="P73" r:id="rId9" display="http://www.bav-astro.de/sfs/BAVM_link.php?BAVMnr=203" xr:uid="{00000000-0004-0000-0100-000008000000}"/>
    <hyperlink ref="P18" r:id="rId10" display="http://www.konkoly.hu/cgi-bin/IBVS?5871" xr:uid="{00000000-0004-0000-0100-000009000000}"/>
    <hyperlink ref="P19" r:id="rId11" display="http://www.konkoly.hu/cgi-bin/IBVS?5920" xr:uid="{00000000-0004-0000-0100-00000A000000}"/>
    <hyperlink ref="P74" r:id="rId12" display="http://www.bav-astro.de/sfs/BAVM_link.php?BAVMnr=225" xr:uid="{00000000-0004-0000-0100-00000B000000}"/>
    <hyperlink ref="P20" r:id="rId13" display="http://www.bav-astro.de/sfs/BAVM_link.php?BAVMnr=231" xr:uid="{00000000-0004-0000-0100-00000C000000}"/>
    <hyperlink ref="P21" r:id="rId14" display="http://www.bav-astro.de/sfs/BAVM_link.php?BAVMnr=234" xr:uid="{00000000-0004-0000-0100-00000D000000}"/>
    <hyperlink ref="P22" r:id="rId15" display="http://www.bav-astro.de/sfs/BAVM_link.php?BAVMnr=239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2024-01-19T04:45:57Z</dcterms:modified>
</cp:coreProperties>
</file>