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B5CE8CC-E7E5-4EA8-8512-E2E2FB112DF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6" i="1" l="1"/>
  <c r="F17" i="1" s="1"/>
  <c r="Q84" i="1"/>
  <c r="D9" i="1"/>
  <c r="C9" i="1"/>
  <c r="Q79" i="1"/>
  <c r="Q78" i="1"/>
  <c r="Q77" i="1"/>
  <c r="Q76" i="1"/>
  <c r="Q75" i="1"/>
  <c r="Q74" i="1"/>
  <c r="Q73" i="1"/>
  <c r="Q71" i="1"/>
  <c r="Q70" i="1"/>
  <c r="Q65" i="1"/>
  <c r="Q62" i="1"/>
  <c r="Q61" i="1"/>
  <c r="Q60" i="1"/>
  <c r="Q59" i="1"/>
  <c r="Q58" i="1"/>
  <c r="Q57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G23" i="2"/>
  <c r="C23" i="2"/>
  <c r="G22" i="2"/>
  <c r="C22" i="2"/>
  <c r="G21" i="2"/>
  <c r="C21" i="2"/>
  <c r="G75" i="2"/>
  <c r="C75" i="2"/>
  <c r="G20" i="2"/>
  <c r="C20" i="2"/>
  <c r="G19" i="2"/>
  <c r="C19" i="2"/>
  <c r="G18" i="2"/>
  <c r="C18" i="2"/>
  <c r="G17" i="2"/>
  <c r="C17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16" i="2"/>
  <c r="C16" i="2"/>
  <c r="G67" i="2"/>
  <c r="C67" i="2"/>
  <c r="G66" i="2"/>
  <c r="C66" i="2"/>
  <c r="G15" i="2"/>
  <c r="C15" i="2"/>
  <c r="G14" i="2"/>
  <c r="C14" i="2"/>
  <c r="G13" i="2"/>
  <c r="C13" i="2"/>
  <c r="G65" i="2"/>
  <c r="C65" i="2"/>
  <c r="G12" i="2"/>
  <c r="C12" i="2"/>
  <c r="G11" i="2"/>
  <c r="C11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H23" i="2"/>
  <c r="D23" i="2"/>
  <c r="B23" i="2"/>
  <c r="A23" i="2"/>
  <c r="H22" i="2"/>
  <c r="D22" i="2"/>
  <c r="B22" i="2"/>
  <c r="A22" i="2"/>
  <c r="H21" i="2"/>
  <c r="D21" i="2"/>
  <c r="B21" i="2"/>
  <c r="A21" i="2"/>
  <c r="H75" i="2"/>
  <c r="D75" i="2"/>
  <c r="B75" i="2"/>
  <c r="A75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16" i="2"/>
  <c r="D16" i="2"/>
  <c r="B16" i="2"/>
  <c r="A16" i="2"/>
  <c r="H67" i="2"/>
  <c r="D67" i="2"/>
  <c r="B67" i="2"/>
  <c r="A67" i="2"/>
  <c r="H66" i="2"/>
  <c r="D66" i="2"/>
  <c r="B66" i="2"/>
  <c r="A66" i="2"/>
  <c r="H15" i="2"/>
  <c r="D15" i="2"/>
  <c r="B15" i="2"/>
  <c r="A15" i="2"/>
  <c r="H14" i="2"/>
  <c r="D14" i="2"/>
  <c r="B14" i="2"/>
  <c r="A14" i="2"/>
  <c r="H13" i="2"/>
  <c r="D13" i="2"/>
  <c r="B13" i="2"/>
  <c r="A13" i="2"/>
  <c r="H65" i="2"/>
  <c r="D65" i="2"/>
  <c r="B65" i="2"/>
  <c r="A65" i="2"/>
  <c r="H12" i="2"/>
  <c r="D12" i="2"/>
  <c r="B12" i="2"/>
  <c r="A12" i="2"/>
  <c r="H11" i="2"/>
  <c r="D11" i="2"/>
  <c r="B11" i="2"/>
  <c r="A11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Q87" i="1"/>
  <c r="C17" i="1"/>
  <c r="Q81" i="1"/>
  <c r="Q82" i="1"/>
  <c r="Q83" i="1"/>
  <c r="Q85" i="1"/>
  <c r="Q86" i="1"/>
  <c r="Q80" i="1"/>
  <c r="Q63" i="1"/>
  <c r="Q64" i="1"/>
  <c r="Q66" i="1"/>
  <c r="Q67" i="1"/>
  <c r="Q68" i="1"/>
  <c r="Q69" i="1"/>
  <c r="Q72" i="1"/>
  <c r="C7" i="1"/>
  <c r="E24" i="1"/>
  <c r="F24" i="1"/>
  <c r="C8" i="1"/>
  <c r="Q56" i="1"/>
  <c r="E16" i="2"/>
  <c r="E63" i="2"/>
  <c r="E64" i="2"/>
  <c r="E14" i="2"/>
  <c r="E27" i="2"/>
  <c r="E15" i="2"/>
  <c r="E85" i="1"/>
  <c r="F85" i="1"/>
  <c r="E63" i="1"/>
  <c r="F63" i="1"/>
  <c r="E50" i="1"/>
  <c r="F50" i="1"/>
  <c r="E62" i="1"/>
  <c r="F62" i="1"/>
  <c r="E26" i="1"/>
  <c r="F26" i="1"/>
  <c r="E77" i="1"/>
  <c r="F77" i="1"/>
  <c r="E42" i="1"/>
  <c r="F42" i="1"/>
  <c r="E34" i="1"/>
  <c r="F34" i="1"/>
  <c r="E83" i="1"/>
  <c r="F83" i="1"/>
  <c r="E69" i="1"/>
  <c r="F69" i="1"/>
  <c r="G72" i="1"/>
  <c r="J72" i="1"/>
  <c r="E30" i="1"/>
  <c r="F30" i="1"/>
  <c r="E47" i="1"/>
  <c r="F47" i="1"/>
  <c r="E55" i="1"/>
  <c r="F55" i="1"/>
  <c r="E71" i="1"/>
  <c r="F71" i="1"/>
  <c r="G76" i="1"/>
  <c r="I76" i="1"/>
  <c r="E74" i="1"/>
  <c r="F74" i="1"/>
  <c r="E39" i="1"/>
  <c r="F39" i="1"/>
  <c r="E28" i="1"/>
  <c r="F28" i="1"/>
  <c r="E87" i="1"/>
  <c r="F87" i="1"/>
  <c r="G87" i="1"/>
  <c r="J87" i="1"/>
  <c r="G68" i="1"/>
  <c r="I68" i="1"/>
  <c r="E66" i="1"/>
  <c r="F66" i="1"/>
  <c r="G66" i="1"/>
  <c r="I66" i="1"/>
  <c r="E52" i="1"/>
  <c r="F52" i="1"/>
  <c r="G52" i="1"/>
  <c r="I52" i="1"/>
  <c r="E58" i="1"/>
  <c r="F58" i="1"/>
  <c r="G58" i="1"/>
  <c r="H58" i="1"/>
  <c r="E31" i="1"/>
  <c r="F31" i="1"/>
  <c r="G31" i="1"/>
  <c r="H31" i="1"/>
  <c r="G70" i="1"/>
  <c r="I70" i="1"/>
  <c r="E79" i="1"/>
  <c r="F79" i="1"/>
  <c r="G79" i="1"/>
  <c r="I79" i="1"/>
  <c r="E45" i="1"/>
  <c r="F45" i="1"/>
  <c r="G45" i="1"/>
  <c r="H45" i="1"/>
  <c r="E36" i="1"/>
  <c r="F36" i="1"/>
  <c r="G36" i="1"/>
  <c r="H36" i="1"/>
  <c r="E80" i="1"/>
  <c r="F80" i="1"/>
  <c r="G80" i="1"/>
  <c r="K80" i="1"/>
  <c r="G64" i="1"/>
  <c r="I64" i="1"/>
  <c r="E72" i="1"/>
  <c r="F72" i="1"/>
  <c r="E49" i="1"/>
  <c r="F49" i="1"/>
  <c r="G49" i="1"/>
  <c r="I49" i="1"/>
  <c r="E61" i="1"/>
  <c r="F61" i="1"/>
  <c r="G61" i="1"/>
  <c r="H61" i="1"/>
  <c r="E23" i="1"/>
  <c r="F23" i="1"/>
  <c r="G23" i="1"/>
  <c r="H23" i="1"/>
  <c r="G78" i="1"/>
  <c r="I78" i="1"/>
  <c r="E76" i="1"/>
  <c r="F76" i="1"/>
  <c r="E41" i="1"/>
  <c r="F41" i="1"/>
  <c r="G41" i="1"/>
  <c r="H41" i="1"/>
  <c r="E33" i="1"/>
  <c r="F33" i="1"/>
  <c r="G33" i="1"/>
  <c r="H33" i="1"/>
  <c r="E82" i="1"/>
  <c r="F82" i="1"/>
  <c r="G82" i="1"/>
  <c r="K82" i="1"/>
  <c r="G56" i="1"/>
  <c r="H56" i="1"/>
  <c r="E68" i="1"/>
  <c r="F68" i="1"/>
  <c r="G84" i="1"/>
  <c r="J84" i="1"/>
  <c r="E29" i="1"/>
  <c r="F29" i="1"/>
  <c r="G29" i="1"/>
  <c r="I29" i="1"/>
  <c r="E60" i="1"/>
  <c r="F60" i="1"/>
  <c r="G60" i="1"/>
  <c r="H60" i="1"/>
  <c r="G57" i="1"/>
  <c r="H57" i="1"/>
  <c r="E53" i="1"/>
  <c r="F53" i="1"/>
  <c r="G53" i="1"/>
  <c r="H53" i="1"/>
  <c r="G22" i="1"/>
  <c r="H22" i="1"/>
  <c r="E70" i="1"/>
  <c r="F70" i="1"/>
  <c r="G75" i="1"/>
  <c r="I75" i="1"/>
  <c r="E73" i="1"/>
  <c r="F73" i="1"/>
  <c r="G73" i="1"/>
  <c r="I73" i="1"/>
  <c r="E38" i="1"/>
  <c r="F38" i="1"/>
  <c r="G38" i="1"/>
  <c r="H38" i="1"/>
  <c r="G32" i="1"/>
  <c r="H32" i="1"/>
  <c r="E25" i="1"/>
  <c r="F25" i="1"/>
  <c r="G25" i="1"/>
  <c r="H25" i="1"/>
  <c r="E86" i="1"/>
  <c r="F86" i="1"/>
  <c r="G86" i="1"/>
  <c r="K86" i="1"/>
  <c r="E64" i="1"/>
  <c r="F64" i="1"/>
  <c r="E51" i="1"/>
  <c r="F51" i="1"/>
  <c r="G51" i="1"/>
  <c r="I51" i="1"/>
  <c r="G59" i="1"/>
  <c r="H59" i="1"/>
  <c r="E21" i="1"/>
  <c r="F21" i="1"/>
  <c r="G21" i="1"/>
  <c r="E27" i="1"/>
  <c r="F27" i="1"/>
  <c r="G27" i="1"/>
  <c r="H27" i="1"/>
  <c r="E78" i="1"/>
  <c r="F78" i="1"/>
  <c r="E43" i="1"/>
  <c r="F43" i="1"/>
  <c r="G43" i="1"/>
  <c r="H43" i="1"/>
  <c r="G37" i="1"/>
  <c r="H37" i="1"/>
  <c r="E35" i="1"/>
  <c r="F35" i="1"/>
  <c r="G35" i="1"/>
  <c r="H35" i="1"/>
  <c r="G24" i="1"/>
  <c r="H24" i="1"/>
  <c r="G85" i="1"/>
  <c r="K85" i="1"/>
  <c r="E56" i="1"/>
  <c r="F56" i="1"/>
  <c r="G63" i="1"/>
  <c r="I63" i="1"/>
  <c r="E84" i="1"/>
  <c r="F84" i="1"/>
  <c r="G50" i="1"/>
  <c r="I50" i="1"/>
  <c r="E48" i="1"/>
  <c r="F48" i="1"/>
  <c r="G48" i="1"/>
  <c r="I48" i="1"/>
  <c r="G62" i="1"/>
  <c r="H62" i="1"/>
  <c r="E57" i="1"/>
  <c r="F57" i="1"/>
  <c r="G26" i="1"/>
  <c r="H26" i="1"/>
  <c r="E22" i="1"/>
  <c r="F22" i="1"/>
  <c r="G77" i="1"/>
  <c r="I77" i="1"/>
  <c r="E75" i="1"/>
  <c r="F75" i="1"/>
  <c r="G42" i="1"/>
  <c r="H42" i="1"/>
  <c r="E40" i="1"/>
  <c r="F40" i="1"/>
  <c r="G40" i="1"/>
  <c r="H40" i="1"/>
  <c r="G34" i="1"/>
  <c r="H34" i="1"/>
  <c r="E32" i="1"/>
  <c r="F32" i="1"/>
  <c r="G83" i="1"/>
  <c r="K83" i="1"/>
  <c r="E81" i="1"/>
  <c r="F81" i="1"/>
  <c r="G81" i="1"/>
  <c r="K81" i="1"/>
  <c r="G69" i="1"/>
  <c r="I69" i="1"/>
  <c r="E67" i="1"/>
  <c r="F67" i="1"/>
  <c r="G67" i="1"/>
  <c r="I67" i="1"/>
  <c r="G30" i="1"/>
  <c r="I30" i="1"/>
  <c r="E54" i="1"/>
  <c r="F54" i="1"/>
  <c r="G54" i="1"/>
  <c r="I54" i="1"/>
  <c r="G47" i="1"/>
  <c r="I47" i="1"/>
  <c r="E59" i="1"/>
  <c r="F59" i="1"/>
  <c r="G55" i="1"/>
  <c r="H55" i="1"/>
  <c r="E44" i="1"/>
  <c r="F44" i="1"/>
  <c r="G44" i="1"/>
  <c r="H44" i="1"/>
  <c r="G71" i="1"/>
  <c r="I71" i="1"/>
  <c r="E65" i="1"/>
  <c r="F65" i="1"/>
  <c r="U65" i="1"/>
  <c r="G74" i="1"/>
  <c r="I74" i="1"/>
  <c r="E46" i="1"/>
  <c r="F46" i="1"/>
  <c r="G46" i="1"/>
  <c r="H46" i="1"/>
  <c r="G39" i="1"/>
  <c r="H39" i="1"/>
  <c r="E37" i="1"/>
  <c r="F37" i="1"/>
  <c r="G28" i="1"/>
  <c r="H28" i="1"/>
  <c r="H21" i="1"/>
  <c r="E68" i="2"/>
  <c r="E20" i="2"/>
  <c r="E19" i="2"/>
  <c r="E71" i="2"/>
  <c r="E18" i="2"/>
  <c r="E23" i="2"/>
  <c r="E59" i="2"/>
  <c r="E72" i="2"/>
  <c r="E67" i="2"/>
  <c r="E66" i="2"/>
  <c r="E17" i="2"/>
  <c r="E54" i="2"/>
  <c r="E53" i="2"/>
  <c r="E58" i="2"/>
  <c r="E13" i="2"/>
  <c r="E65" i="2"/>
  <c r="E61" i="2"/>
  <c r="E12" i="2"/>
  <c r="E70" i="2"/>
  <c r="E43" i="2"/>
  <c r="E48" i="2"/>
  <c r="E47" i="2"/>
  <c r="E57" i="2"/>
  <c r="E62" i="2"/>
  <c r="E56" i="2"/>
  <c r="E55" i="2"/>
  <c r="E11" i="2"/>
  <c r="E38" i="2"/>
  <c r="E37" i="2"/>
  <c r="E42" i="2"/>
  <c r="E52" i="2"/>
  <c r="E51" i="2"/>
  <c r="E45" i="2"/>
  <c r="E50" i="2"/>
  <c r="E60" i="2"/>
  <c r="E32" i="2"/>
  <c r="E31" i="2"/>
  <c r="E41" i="2"/>
  <c r="E46" i="2"/>
  <c r="E40" i="2"/>
  <c r="E39" i="2"/>
  <c r="E49" i="2"/>
  <c r="E22" i="2"/>
  <c r="E21" i="2"/>
  <c r="E75" i="2"/>
  <c r="E26" i="2"/>
  <c r="E36" i="2"/>
  <c r="E35" i="2"/>
  <c r="E29" i="2"/>
  <c r="E34" i="2"/>
  <c r="E44" i="2"/>
  <c r="E69" i="2"/>
  <c r="E74" i="2"/>
  <c r="E73" i="2"/>
  <c r="E25" i="2"/>
  <c r="E30" i="2"/>
  <c r="E24" i="2"/>
  <c r="E28" i="2"/>
  <c r="E33" i="2"/>
  <c r="C12" i="1"/>
  <c r="C11" i="1"/>
  <c r="O86" i="1" l="1"/>
  <c r="O66" i="1"/>
  <c r="O35" i="1"/>
  <c r="O80" i="1"/>
  <c r="O21" i="1"/>
  <c r="O26" i="1"/>
  <c r="O47" i="1"/>
  <c r="O52" i="1"/>
  <c r="O83" i="1"/>
  <c r="O72" i="1"/>
  <c r="O27" i="1"/>
  <c r="O84" i="1"/>
  <c r="O81" i="1"/>
  <c r="O85" i="1"/>
  <c r="O39" i="1"/>
  <c r="O44" i="1"/>
  <c r="O60" i="1"/>
  <c r="O32" i="1"/>
  <c r="O76" i="1"/>
  <c r="O73" i="1"/>
  <c r="O67" i="1"/>
  <c r="O75" i="1"/>
  <c r="O71" i="1"/>
  <c r="O56" i="1"/>
  <c r="O63" i="1"/>
  <c r="O31" i="1"/>
  <c r="O36" i="1"/>
  <c r="O49" i="1"/>
  <c r="O48" i="1"/>
  <c r="O87" i="1"/>
  <c r="O82" i="1"/>
  <c r="O41" i="1"/>
  <c r="O50" i="1"/>
  <c r="C15" i="1"/>
  <c r="O33" i="1"/>
  <c r="O74" i="1"/>
  <c r="O58" i="1"/>
  <c r="O54" i="1"/>
  <c r="O78" i="1"/>
  <c r="O57" i="1"/>
  <c r="O62" i="1"/>
  <c r="O77" i="1"/>
  <c r="O68" i="1"/>
  <c r="O23" i="1"/>
  <c r="O28" i="1"/>
  <c r="O46" i="1"/>
  <c r="O53" i="1"/>
  <c r="O59" i="1"/>
  <c r="O64" i="1"/>
  <c r="O38" i="1"/>
  <c r="O40" i="1"/>
  <c r="O79" i="1"/>
  <c r="O30" i="1"/>
  <c r="O42" i="1"/>
  <c r="O43" i="1"/>
  <c r="O61" i="1"/>
  <c r="O65" i="1"/>
  <c r="O45" i="1"/>
  <c r="O51" i="1"/>
  <c r="O70" i="1"/>
  <c r="O25" i="1"/>
  <c r="O24" i="1"/>
  <c r="O34" i="1"/>
  <c r="O69" i="1"/>
  <c r="O37" i="1"/>
  <c r="O22" i="1"/>
  <c r="O29" i="1"/>
  <c r="O5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<sst xmlns="http://schemas.openxmlformats.org/spreadsheetml/2006/main" count="720" uniqueCount="303">
  <si>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</si>
  <si>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</si>
  <si>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</si>
  <si>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</si>
  <si>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</si>
  <si>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</si>
  <si>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</si>
  <si>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</si>
  <si>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</si>
  <si>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</si>
  <si>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</si>
  <si>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</si>
  <si>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</si>
  <si>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</si>
  <si>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</si>
  <si>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</si>
  <si>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</si>
  <si>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</si>
  <si>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</si>
  <si>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</si>
  <si>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</si>
  <si>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</si>
  <si>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</si>
  <si>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</si>
  <si>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</si>
  <si>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</si>
  <si>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</si>
  <si>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</si>
  <si>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</si>
  <si>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Bull.50</t>
  </si>
  <si>
    <t>B</t>
  </si>
  <si>
    <t>Locher K</t>
  </si>
  <si>
    <t>BBSAG Bull.59</t>
  </si>
  <si>
    <t>BBSAG Bull.62</t>
  </si>
  <si>
    <t>BBSAG Bull.69</t>
  </si>
  <si>
    <t>BBSAG Bull.84</t>
  </si>
  <si>
    <t>BBSAG Bull.85</t>
  </si>
  <si>
    <t>BBSAG Bull.114</t>
  </si>
  <si>
    <t>IBVS 5263</t>
  </si>
  <si>
    <t>I</t>
  </si>
  <si>
    <t># of data points:</t>
  </si>
  <si>
    <t>KT Cas / GSC 03668-01034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</si>
  <si>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</si>
  <si>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</si>
  <si>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</si>
  <si>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</si>
  <si>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</si>
  <si>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</si>
  <si>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IBVS 5781</t>
  </si>
  <si>
    <t>OEJV 0074</t>
  </si>
  <si>
    <t>Start of linear fit &gt;&gt;&gt;&gt;&gt;&gt;&gt;&gt;&gt;&gt;&gt;&gt;&gt;&gt;&gt;&gt;&gt;&gt;&gt;&gt;&gt;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</si>
  <si>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</si>
  <si>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</si>
  <si>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</si>
  <si>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</si>
  <si>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</si>
  <si>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</si>
  <si>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</si>
  <si>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</si>
  <si>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</si>
  <si>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</si>
  <si>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</si>
  <si>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</si>
  <si>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2414604.349 </t>
  </si>
  <si>
    <t> 10.11.1898 20:22 </t>
  </si>
  <si>
    <t> -0.186 </t>
  </si>
  <si>
    <t>P </t>
  </si>
  <si>
    <t> N.B.Perova </t>
  </si>
  <si>
    <t> PZ 11.470 </t>
  </si>
  <si>
    <t>2428760.471 </t>
  </si>
  <si>
    <t> 14.08.1937 23:18 </t>
  </si>
  <si>
    <t> 0.092 </t>
  </si>
  <si>
    <t> PZ 10.120 </t>
  </si>
  <si>
    <t>2429192.454 </t>
  </si>
  <si>
    <t> 20.10.1938 22:53 </t>
  </si>
  <si>
    <t> 0.004 </t>
  </si>
  <si>
    <t>2429250.396 </t>
  </si>
  <si>
    <t> 17.12.1938 21:30 </t>
  </si>
  <si>
    <t> -0.217 </t>
  </si>
  <si>
    <t> M.I.Lavrov </t>
  </si>
  <si>
    <t> AC 178.24 </t>
  </si>
  <si>
    <t>2429840.379 </t>
  </si>
  <si>
    <t> 29.07.1940 21:05 </t>
  </si>
  <si>
    <t> -0.176 </t>
  </si>
  <si>
    <t>2429962.328 </t>
  </si>
  <si>
    <t> 28.11.1940 19:52 </t>
  </si>
  <si>
    <t> -0.093 </t>
  </si>
  <si>
    <t>2429962.359 </t>
  </si>
  <si>
    <t> 28.11.1940 20:36 </t>
  </si>
  <si>
    <t> -0.062 </t>
  </si>
  <si>
    <t>2430045.483 </t>
  </si>
  <si>
    <t> 19.02.1941 23:35 </t>
  </si>
  <si>
    <t> -0.029 </t>
  </si>
  <si>
    <t>2430261.528 </t>
  </si>
  <si>
    <t> 24.09.1941 00:40 </t>
  </si>
  <si>
    <t> -0.019 </t>
  </si>
  <si>
    <t> W.Götz </t>
  </si>
  <si>
    <t> VSS 2.311 </t>
  </si>
  <si>
    <t>2430347.299 </t>
  </si>
  <si>
    <t> 18.12.1941 19:10 </t>
  </si>
  <si>
    <t> -0.108 </t>
  </si>
  <si>
    <t>2430674.344 </t>
  </si>
  <si>
    <t> 10.11.1942 20:15 </t>
  </si>
  <si>
    <t> 0.114 </t>
  </si>
  <si>
    <t>2431192.238 </t>
  </si>
  <si>
    <t> 11.04.1944 17:42 </t>
  </si>
  <si>
    <t> 0.078 </t>
  </si>
  <si>
    <t>2431225.406 </t>
  </si>
  <si>
    <t> 14.05.1944 21:44 </t>
  </si>
  <si>
    <t> 0.010 </t>
  </si>
  <si>
    <t>2431430.159 </t>
  </si>
  <si>
    <t> 05.12.1944 15:48 </t>
  </si>
  <si>
    <t> -0.194 </t>
  </si>
  <si>
    <t>2431801.370 </t>
  </si>
  <si>
    <t> 11.12.1945 20:52 </t>
  </si>
  <si>
    <t> -0.120 </t>
  </si>
  <si>
    <t>2431801.426 </t>
  </si>
  <si>
    <t> 11.12.1945 22:13 </t>
  </si>
  <si>
    <t> -0.064 </t>
  </si>
  <si>
    <t>2431815.248 </t>
  </si>
  <si>
    <t> 25.12.1945 17:57 </t>
  </si>
  <si>
    <t> -0.091 </t>
  </si>
  <si>
    <t>2432178.264 </t>
  </si>
  <si>
    <t> 23.12.1946 18:20 </t>
  </si>
  <si>
    <t> 0.097 </t>
  </si>
  <si>
    <t>2432405.307 </t>
  </si>
  <si>
    <t> 07.08.1947 19:22 </t>
  </si>
  <si>
    <t> 0.026 </t>
  </si>
  <si>
    <t>2432981.315 </t>
  </si>
  <si>
    <t> 05.03.1949 19:33 </t>
  </si>
  <si>
    <t> -0.060 </t>
  </si>
  <si>
    <t>2432981.350 </t>
  </si>
  <si>
    <t> 05.03.1949 20:24 </t>
  </si>
  <si>
    <t> -0.025 </t>
  </si>
  <si>
    <t>2432981.375 </t>
  </si>
  <si>
    <t> 05.03.1949 21:00 </t>
  </si>
  <si>
    <t> 0.000 </t>
  </si>
  <si>
    <t>2433003.352 </t>
  </si>
  <si>
    <t> 27.03.1949 20:26 </t>
  </si>
  <si>
    <t> -0.180 </t>
  </si>
  <si>
    <t>2433175.275 </t>
  </si>
  <si>
    <t> 15.09.1949 18:36 </t>
  </si>
  <si>
    <t> 0.022 </t>
  </si>
  <si>
    <t>2433355.396 </t>
  </si>
  <si>
    <t> 14.03.1950 21:30 </t>
  </si>
  <si>
    <t>2433499.320 </t>
  </si>
  <si>
    <t> 05.08.1950 19:40 </t>
  </si>
  <si>
    <t> 0.015 </t>
  </si>
  <si>
    <t>2433543.488 </t>
  </si>
  <si>
    <t> 18.09.1950 23:42 </t>
  </si>
  <si>
    <t> -0.132 </t>
  </si>
  <si>
    <t> TKZ 33.106 </t>
  </si>
  <si>
    <t>2433543.528 </t>
  </si>
  <si>
    <t> 19.09.1950 00:40 </t>
  </si>
  <si>
    <t> -0.092 </t>
  </si>
  <si>
    <t>2433546.259 </t>
  </si>
  <si>
    <t> 21.09.1950 18:12 </t>
  </si>
  <si>
    <t> -0.131 </t>
  </si>
  <si>
    <t>2433546.348 </t>
  </si>
  <si>
    <t> 21.09.1950 20:21 </t>
  </si>
  <si>
    <t> -0.042 </t>
  </si>
  <si>
    <t>2433546.391 </t>
  </si>
  <si>
    <t> 21.09.1950 21:23 </t>
  </si>
  <si>
    <t> 0.001 </t>
  </si>
  <si>
    <t>2433568.367 </t>
  </si>
  <si>
    <t> 13.10.1950 20:48 </t>
  </si>
  <si>
    <t>2433892.421 </t>
  </si>
  <si>
    <t> 02.09.1951 22:06 </t>
  </si>
  <si>
    <t> -0.179 </t>
  </si>
  <si>
    <t>2433892.455 </t>
  </si>
  <si>
    <t> 02.09.1951 22:55 </t>
  </si>
  <si>
    <t> -0.145 </t>
  </si>
  <si>
    <t>2433895.373 </t>
  </si>
  <si>
    <t> 05.09.1951 20:57 </t>
  </si>
  <si>
    <t> 0.003 </t>
  </si>
  <si>
    <t>2434330.211 </t>
  </si>
  <si>
    <t> 13.11.1952 17:03 </t>
  </si>
  <si>
    <t>2434330.250 </t>
  </si>
  <si>
    <t> 13.11.1952 18:00 </t>
  </si>
  <si>
    <t> 0.040 </t>
  </si>
  <si>
    <t>2434330.279 </t>
  </si>
  <si>
    <t> 13.11.1952 18:41 </t>
  </si>
  <si>
    <t> 0.069 </t>
  </si>
  <si>
    <t>2434330.326 </t>
  </si>
  <si>
    <t> 13.11.1952 19:49 </t>
  </si>
  <si>
    <t> 0.116 </t>
  </si>
  <si>
    <t>2434457.448 </t>
  </si>
  <si>
    <t> 20.03.1953 22:45 </t>
  </si>
  <si>
    <t> -0.167 </t>
  </si>
  <si>
    <t>2434457.478 </t>
  </si>
  <si>
    <t> 20.03.1953 23:28 </t>
  </si>
  <si>
    <t> -0.137 </t>
  </si>
  <si>
    <t>2444489.362 </t>
  </si>
  <si>
    <t> 06.09.1980 20:41 </t>
  </si>
  <si>
    <t> -11.120 </t>
  </si>
  <si>
    <t>V </t>
  </si>
  <si>
    <t> R.Diethelm </t>
  </si>
  <si>
    <t> BBS 50 </t>
  </si>
  <si>
    <t>2445043.292 </t>
  </si>
  <si>
    <t> 14.03.1982 19:00 </t>
  </si>
  <si>
    <t> -11.127 </t>
  </si>
  <si>
    <t> K.Locher </t>
  </si>
  <si>
    <t> BBS 59 </t>
  </si>
  <si>
    <t>2445189.382 </t>
  </si>
  <si>
    <t> 07.08.1982 21:10 </t>
  </si>
  <si>
    <t> -11.830 </t>
  </si>
  <si>
    <t> BBS 62 </t>
  </si>
  <si>
    <t>2445644.276 </t>
  </si>
  <si>
    <t> 05.11.1983 18:37 </t>
  </si>
  <si>
    <t> -11.164 </t>
  </si>
  <si>
    <t> BBS 69 </t>
  </si>
  <si>
    <t>2446987.535 </t>
  </si>
  <si>
    <t> 11.07.1987 00:50 </t>
  </si>
  <si>
    <t> -11.200 </t>
  </si>
  <si>
    <t> BBS 84 </t>
  </si>
  <si>
    <t>2447037.410 </t>
  </si>
  <si>
    <t> 29.08.1987 21:50 </t>
  </si>
  <si>
    <t> -11.180 </t>
  </si>
  <si>
    <t> BBS 85 </t>
  </si>
  <si>
    <t>2447095.575 </t>
  </si>
  <si>
    <t> 27.10.1987 01:48 </t>
  </si>
  <si>
    <t> -11.178 </t>
  </si>
  <si>
    <t> J.Manek </t>
  </si>
  <si>
    <t> BRNO 30 </t>
  </si>
  <si>
    <t>2448131.443 </t>
  </si>
  <si>
    <t> 27.08.1990 22:37 </t>
  </si>
  <si>
    <t> -11.171 </t>
  </si>
  <si>
    <t> A.Dedoch </t>
  </si>
  <si>
    <t> BRNO 31 </t>
  </si>
  <si>
    <t>2450369.3284 </t>
  </si>
  <si>
    <t> 12.10.1996 19:52 </t>
  </si>
  <si>
    <t> -11.1888 </t>
  </si>
  <si>
    <t>E </t>
  </si>
  <si>
    <t>?</t>
  </si>
  <si>
    <t> BBS 114 </t>
  </si>
  <si>
    <t>2450798.617 </t>
  </si>
  <si>
    <t> 16.12.1997 02:48 </t>
  </si>
  <si>
    <t> -11.201 </t>
  </si>
  <si>
    <t> P.Guilbault </t>
  </si>
  <si>
    <t> BBS 123 </t>
  </si>
  <si>
    <t>2450809.684 </t>
  </si>
  <si>
    <t> 27.12.1997 04:24 </t>
  </si>
  <si>
    <t> -11.213 </t>
  </si>
  <si>
    <t>2451039.584 </t>
  </si>
  <si>
    <t> 14.08.1998 02:00 </t>
  </si>
  <si>
    <t> -11.196 </t>
  </si>
  <si>
    <t>2451086.660 </t>
  </si>
  <si>
    <t> 30.09.1998 03:50 </t>
  </si>
  <si>
    <t> -11.205 </t>
  </si>
  <si>
    <t>2451111.598 </t>
  </si>
  <si>
    <t> 25.10.1998 02:21 </t>
  </si>
  <si>
    <t> -11.194 </t>
  </si>
  <si>
    <t>2451399.629 </t>
  </si>
  <si>
    <t> 09.08.1999 03:05 </t>
  </si>
  <si>
    <t> -11.210 </t>
  </si>
  <si>
    <t>2451410.701 </t>
  </si>
  <si>
    <t> 20.08.1999 04:49 </t>
  </si>
  <si>
    <t> -11.217 </t>
  </si>
  <si>
    <t>2451449.4972 </t>
  </si>
  <si>
    <t> 27.09.1999 23:55 </t>
  </si>
  <si>
    <t> -11.1960 </t>
  </si>
  <si>
    <t> J.Safar </t>
  </si>
  <si>
    <t>IBVS 5263 </t>
  </si>
  <si>
    <t>2451751.39343 </t>
  </si>
  <si>
    <t> 25.07.2000 21:26 </t>
  </si>
  <si>
    <t> -11.19508 </t>
  </si>
  <si>
    <t>C </t>
  </si>
  <si>
    <t>o</t>
  </si>
  <si>
    <t> J.Šafár </t>
  </si>
  <si>
    <t>OEJV 0074 </t>
  </si>
  <si>
    <t>2452197.31969 </t>
  </si>
  <si>
    <t> 14.10.2001 19:40 </t>
  </si>
  <si>
    <t> -11.18762 </t>
  </si>
  <si>
    <t>2452219.47134 </t>
  </si>
  <si>
    <t> 05.11.2001 23:18 </t>
  </si>
  <si>
    <t> -11.19343 </t>
  </si>
  <si>
    <t>2453219.3613 </t>
  </si>
  <si>
    <t> 01.08.2004 20:40 </t>
  </si>
  <si>
    <t> -11.1587 </t>
  </si>
  <si>
    <t> Moschner &amp; Frank </t>
  </si>
  <si>
    <t>BAVM 4-5 </t>
  </si>
  <si>
    <t>2453252.5624 </t>
  </si>
  <si>
    <t> 04.09.2004 01:29 </t>
  </si>
  <si>
    <t> -11.1938 </t>
  </si>
  <si>
    <t> M. Zejda et al. </t>
  </si>
  <si>
    <t>IBVS 5741 </t>
  </si>
  <si>
    <t>2454097.3096 </t>
  </si>
  <si>
    <t> 27.12.2006 19:25 </t>
  </si>
  <si>
    <t> -11.1996 </t>
  </si>
  <si>
    <t> R. Diethelm </t>
  </si>
  <si>
    <t> BBS 133 (=IBVS 5781) </t>
  </si>
  <si>
    <t>2456955.5956 </t>
  </si>
  <si>
    <t> 25.10.2014 02:17 </t>
  </si>
  <si>
    <t> -11.2254 </t>
  </si>
  <si>
    <t>-I</t>
  </si>
  <si>
    <t> F.Agerer </t>
  </si>
  <si>
    <t>BAVM 239 </t>
  </si>
  <si>
    <t>Add cycle</t>
  </si>
  <si>
    <t>Old Cycle</t>
  </si>
  <si>
    <t>BAD?</t>
  </si>
  <si>
    <t>EA/SD</t>
  </si>
  <si>
    <t>Likely eccentric orbit</t>
  </si>
  <si>
    <t>10/11/1898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</si>
</sst>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3" fillId="0" borderId="1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4" fillId="0" borderId="0" xfId="0" applyFont="1">
      <alignment vertical="top"/>
    </xf>
    <xf numFmtId="0" fontId="0" fillId="0" borderId="0" xfId="0" applyAlignment="1">
      <alignment horizont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2" fillId="3" borderId="0" xfId="0" applyFont="1" applyFill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KT Cas - O-C Diagr.</a:t>
            </a:r>
          </a:p>
        </c:rich>
      </c:tx>
      <c:layout>
        <c:manualLayout>
          <c:xMode val="edge"/>
          <c:yMode val="edge"/>
          <c:x val="0.37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22368421052633"/>
          <c:y val="0.14769252958613219"/>
          <c:w val="0.8174342105263158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-7122</c:v>
                </c:pt>
                <c:pt idx="1">
                  <c:v>-2011</c:v>
                </c:pt>
                <c:pt idx="2">
                  <c:v>-1855</c:v>
                </c:pt>
                <c:pt idx="3">
                  <c:v>-1834</c:v>
                </c:pt>
                <c:pt idx="4">
                  <c:v>-1621</c:v>
                </c:pt>
                <c:pt idx="5">
                  <c:v>-1577</c:v>
                </c:pt>
                <c:pt idx="6">
                  <c:v>-1577</c:v>
                </c:pt>
                <c:pt idx="7">
                  <c:v>-1547</c:v>
                </c:pt>
                <c:pt idx="8">
                  <c:v>-1469</c:v>
                </c:pt>
                <c:pt idx="9">
                  <c:v>-1438</c:v>
                </c:pt>
                <c:pt idx="10">
                  <c:v>-1320</c:v>
                </c:pt>
                <c:pt idx="11">
                  <c:v>-1133</c:v>
                </c:pt>
                <c:pt idx="12">
                  <c:v>-1121</c:v>
                </c:pt>
                <c:pt idx="13">
                  <c:v>-1047</c:v>
                </c:pt>
                <c:pt idx="14">
                  <c:v>-913</c:v>
                </c:pt>
                <c:pt idx="15">
                  <c:v>-913</c:v>
                </c:pt>
                <c:pt idx="16">
                  <c:v>-908</c:v>
                </c:pt>
                <c:pt idx="17">
                  <c:v>-777</c:v>
                </c:pt>
                <c:pt idx="18">
                  <c:v>-695</c:v>
                </c:pt>
                <c:pt idx="19">
                  <c:v>-487</c:v>
                </c:pt>
                <c:pt idx="20">
                  <c:v>-487</c:v>
                </c:pt>
                <c:pt idx="21">
                  <c:v>-487</c:v>
                </c:pt>
                <c:pt idx="22">
                  <c:v>-479</c:v>
                </c:pt>
                <c:pt idx="23">
                  <c:v>-417</c:v>
                </c:pt>
                <c:pt idx="24">
                  <c:v>-352</c:v>
                </c:pt>
                <c:pt idx="25">
                  <c:v>-300</c:v>
                </c:pt>
                <c:pt idx="26">
                  <c:v>-284</c:v>
                </c:pt>
                <c:pt idx="27">
                  <c:v>-284</c:v>
                </c:pt>
                <c:pt idx="28">
                  <c:v>-283</c:v>
                </c:pt>
                <c:pt idx="29">
                  <c:v>-283</c:v>
                </c:pt>
                <c:pt idx="30">
                  <c:v>-283</c:v>
                </c:pt>
                <c:pt idx="31">
                  <c:v>-275</c:v>
                </c:pt>
                <c:pt idx="32">
                  <c:v>-158</c:v>
                </c:pt>
                <c:pt idx="33">
                  <c:v>-158</c:v>
                </c:pt>
                <c:pt idx="34">
                  <c:v>-157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46</c:v>
                </c:pt>
                <c:pt idx="41">
                  <c:v>46</c:v>
                </c:pt>
                <c:pt idx="42">
                  <c:v>3668</c:v>
                </c:pt>
                <c:pt idx="43">
                  <c:v>3868</c:v>
                </c:pt>
                <c:pt idx="44">
                  <c:v>3920.5</c:v>
                </c:pt>
                <c:pt idx="45">
                  <c:v>3924</c:v>
                </c:pt>
                <c:pt idx="46">
                  <c:v>4085</c:v>
                </c:pt>
                <c:pt idx="47">
                  <c:v>4570</c:v>
                </c:pt>
                <c:pt idx="48">
                  <c:v>4588</c:v>
                </c:pt>
                <c:pt idx="49">
                  <c:v>4609</c:v>
                </c:pt>
                <c:pt idx="50">
                  <c:v>4983</c:v>
                </c:pt>
                <c:pt idx="51">
                  <c:v>5791</c:v>
                </c:pt>
                <c:pt idx="52">
                  <c:v>5946</c:v>
                </c:pt>
                <c:pt idx="53">
                  <c:v>5950</c:v>
                </c:pt>
                <c:pt idx="54">
                  <c:v>6033</c:v>
                </c:pt>
                <c:pt idx="55">
                  <c:v>6050</c:v>
                </c:pt>
                <c:pt idx="56">
                  <c:v>6059</c:v>
                </c:pt>
                <c:pt idx="57">
                  <c:v>6163</c:v>
                </c:pt>
                <c:pt idx="58">
                  <c:v>6167</c:v>
                </c:pt>
                <c:pt idx="59">
                  <c:v>6181</c:v>
                </c:pt>
                <c:pt idx="60">
                  <c:v>6290</c:v>
                </c:pt>
                <c:pt idx="61">
                  <c:v>6451</c:v>
                </c:pt>
                <c:pt idx="62">
                  <c:v>6459</c:v>
                </c:pt>
                <c:pt idx="63">
                  <c:v>6820</c:v>
                </c:pt>
                <c:pt idx="64">
                  <c:v>6832</c:v>
                </c:pt>
                <c:pt idx="65">
                  <c:v>7137</c:v>
                </c:pt>
                <c:pt idx="66">
                  <c:v>8169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-0.18579599999975471</c:v>
                </c:pt>
                <c:pt idx="1">
                  <c:v>9.150200000294717E-2</c:v>
                </c:pt>
                <c:pt idx="2">
                  <c:v>4.1100000016740523E-3</c:v>
                </c:pt>
                <c:pt idx="3">
                  <c:v>-0.21721199999956298</c:v>
                </c:pt>
                <c:pt idx="4">
                  <c:v>-0.17647799999758718</c:v>
                </c:pt>
                <c:pt idx="5">
                  <c:v>-9.3485999997938052E-2</c:v>
                </c:pt>
                <c:pt idx="6">
                  <c:v>-6.2485999998898478E-2</c:v>
                </c:pt>
                <c:pt idx="7">
                  <c:v>-2.8945999998541083E-2</c:v>
                </c:pt>
                <c:pt idx="10">
                  <c:v>0.11424000000261003</c:v>
                </c:pt>
                <c:pt idx="11">
                  <c:v>7.7706000000034692E-2</c:v>
                </c:pt>
                <c:pt idx="12">
                  <c:v>9.5220000002882443E-3</c:v>
                </c:pt>
                <c:pt idx="13">
                  <c:v>-0.1939459999994142</c:v>
                </c:pt>
                <c:pt idx="14">
                  <c:v>-0.12033399999927497</c:v>
                </c:pt>
                <c:pt idx="15">
                  <c:v>-6.43339999987802E-2</c:v>
                </c:pt>
                <c:pt idx="16">
                  <c:v>-9.0744000000995584E-2</c:v>
                </c:pt>
                <c:pt idx="17">
                  <c:v>9.6914000001561362E-2</c:v>
                </c:pt>
                <c:pt idx="18">
                  <c:v>2.599000000191154E-2</c:v>
                </c:pt>
                <c:pt idx="19">
                  <c:v>-5.9865999995963648E-2</c:v>
                </c:pt>
                <c:pt idx="20">
                  <c:v>-2.4865999999747146E-2</c:v>
                </c:pt>
                <c:pt idx="21">
                  <c:v>1.340000017080456E-4</c:v>
                </c:pt>
                <c:pt idx="22">
                  <c:v>-0.18032200000016019</c:v>
                </c:pt>
                <c:pt idx="23">
                  <c:v>2.2393999999621883E-2</c:v>
                </c:pt>
                <c:pt idx="24">
                  <c:v>0.1140640000012354</c:v>
                </c:pt>
                <c:pt idx="25">
                  <c:v>1.4600000002246816E-2</c:v>
                </c:pt>
                <c:pt idx="32">
                  <c:v>-0.17924399999901652</c:v>
                </c:pt>
                <c:pt idx="34">
                  <c:v>3.0740000001969747E-3</c:v>
                </c:pt>
                <c:pt idx="35">
                  <c:v>0</c:v>
                </c:pt>
                <c:pt idx="36">
                  <c:v>1.0000000038417056E-3</c:v>
                </c:pt>
                <c:pt idx="37">
                  <c:v>4.0000000000873115E-2</c:v>
                </c:pt>
                <c:pt idx="38">
                  <c:v>6.9000000003143214E-2</c:v>
                </c:pt>
                <c:pt idx="39">
                  <c:v>0.11600000000180444</c:v>
                </c:pt>
                <c:pt idx="40">
                  <c:v>-0.16737200000352459</c:v>
                </c:pt>
                <c:pt idx="41">
                  <c:v>-0.13737199999741279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8A-4772-998D-702CBC66BF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4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1.4E-3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3.0000000000000001E-3</c:v>
                  </c:pt>
                  <c:pt idx="61">
                    <c:v>3.5000000000000001E-3</c:v>
                  </c:pt>
                  <c:pt idx="62">
                    <c:v>4.1999999999999997E-3</c:v>
                  </c:pt>
                  <c:pt idx="63">
                    <c:v>0</c:v>
                  </c:pt>
                  <c:pt idx="64">
                    <c:v>1.1999999999999999E-3</c:v>
                  </c:pt>
                  <c:pt idx="65">
                    <c:v>4.0000000000000002E-4</c:v>
                  </c:pt>
                  <c:pt idx="66">
                    <c:v>2.3E-3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4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1.4E-3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3.0000000000000001E-3</c:v>
                  </c:pt>
                  <c:pt idx="61">
                    <c:v>3.5000000000000001E-3</c:v>
                  </c:pt>
                  <c:pt idx="62">
                    <c:v>4.1999999999999997E-3</c:v>
                  </c:pt>
                  <c:pt idx="63">
                    <c:v>0</c:v>
                  </c:pt>
                  <c:pt idx="64">
                    <c:v>1.1999999999999999E-3</c:v>
                  </c:pt>
                  <c:pt idx="65">
                    <c:v>4.0000000000000002E-4</c:v>
                  </c:pt>
                  <c:pt idx="66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-7122</c:v>
                </c:pt>
                <c:pt idx="1">
                  <c:v>-2011</c:v>
                </c:pt>
                <c:pt idx="2">
                  <c:v>-1855</c:v>
                </c:pt>
                <c:pt idx="3">
                  <c:v>-1834</c:v>
                </c:pt>
                <c:pt idx="4">
                  <c:v>-1621</c:v>
                </c:pt>
                <c:pt idx="5">
                  <c:v>-1577</c:v>
                </c:pt>
                <c:pt idx="6">
                  <c:v>-1577</c:v>
                </c:pt>
                <c:pt idx="7">
                  <c:v>-1547</c:v>
                </c:pt>
                <c:pt idx="8">
                  <c:v>-1469</c:v>
                </c:pt>
                <c:pt idx="9">
                  <c:v>-1438</c:v>
                </c:pt>
                <c:pt idx="10">
                  <c:v>-1320</c:v>
                </c:pt>
                <c:pt idx="11">
                  <c:v>-1133</c:v>
                </c:pt>
                <c:pt idx="12">
                  <c:v>-1121</c:v>
                </c:pt>
                <c:pt idx="13">
                  <c:v>-1047</c:v>
                </c:pt>
                <c:pt idx="14">
                  <c:v>-913</c:v>
                </c:pt>
                <c:pt idx="15">
                  <c:v>-913</c:v>
                </c:pt>
                <c:pt idx="16">
                  <c:v>-908</c:v>
                </c:pt>
                <c:pt idx="17">
                  <c:v>-777</c:v>
                </c:pt>
                <c:pt idx="18">
                  <c:v>-695</c:v>
                </c:pt>
                <c:pt idx="19">
                  <c:v>-487</c:v>
                </c:pt>
                <c:pt idx="20">
                  <c:v>-487</c:v>
                </c:pt>
                <c:pt idx="21">
                  <c:v>-487</c:v>
                </c:pt>
                <c:pt idx="22">
                  <c:v>-479</c:v>
                </c:pt>
                <c:pt idx="23">
                  <c:v>-417</c:v>
                </c:pt>
                <c:pt idx="24">
                  <c:v>-352</c:v>
                </c:pt>
                <c:pt idx="25">
                  <c:v>-300</c:v>
                </c:pt>
                <c:pt idx="26">
                  <c:v>-284</c:v>
                </c:pt>
                <c:pt idx="27">
                  <c:v>-284</c:v>
                </c:pt>
                <c:pt idx="28">
                  <c:v>-283</c:v>
                </c:pt>
                <c:pt idx="29">
                  <c:v>-283</c:v>
                </c:pt>
                <c:pt idx="30">
                  <c:v>-283</c:v>
                </c:pt>
                <c:pt idx="31">
                  <c:v>-275</c:v>
                </c:pt>
                <c:pt idx="32">
                  <c:v>-158</c:v>
                </c:pt>
                <c:pt idx="33">
                  <c:v>-158</c:v>
                </c:pt>
                <c:pt idx="34">
                  <c:v>-157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46</c:v>
                </c:pt>
                <c:pt idx="41">
                  <c:v>46</c:v>
                </c:pt>
                <c:pt idx="42">
                  <c:v>3668</c:v>
                </c:pt>
                <c:pt idx="43">
                  <c:v>3868</c:v>
                </c:pt>
                <c:pt idx="44">
                  <c:v>3920.5</c:v>
                </c:pt>
                <c:pt idx="45">
                  <c:v>3924</c:v>
                </c:pt>
                <c:pt idx="46">
                  <c:v>4085</c:v>
                </c:pt>
                <c:pt idx="47">
                  <c:v>4570</c:v>
                </c:pt>
                <c:pt idx="48">
                  <c:v>4588</c:v>
                </c:pt>
                <c:pt idx="49">
                  <c:v>4609</c:v>
                </c:pt>
                <c:pt idx="50">
                  <c:v>4983</c:v>
                </c:pt>
                <c:pt idx="51">
                  <c:v>5791</c:v>
                </c:pt>
                <c:pt idx="52">
                  <c:v>5946</c:v>
                </c:pt>
                <c:pt idx="53">
                  <c:v>5950</c:v>
                </c:pt>
                <c:pt idx="54">
                  <c:v>6033</c:v>
                </c:pt>
                <c:pt idx="55">
                  <c:v>6050</c:v>
                </c:pt>
                <c:pt idx="56">
                  <c:v>6059</c:v>
                </c:pt>
                <c:pt idx="57">
                  <c:v>6163</c:v>
                </c:pt>
                <c:pt idx="58">
                  <c:v>6167</c:v>
                </c:pt>
                <c:pt idx="59">
                  <c:v>6181</c:v>
                </c:pt>
                <c:pt idx="60">
                  <c:v>6290</c:v>
                </c:pt>
                <c:pt idx="61">
                  <c:v>6451</c:v>
                </c:pt>
                <c:pt idx="62">
                  <c:v>6459</c:v>
                </c:pt>
                <c:pt idx="63">
                  <c:v>6820</c:v>
                </c:pt>
                <c:pt idx="64">
                  <c:v>6832</c:v>
                </c:pt>
                <c:pt idx="65">
                  <c:v>7137</c:v>
                </c:pt>
                <c:pt idx="66">
                  <c:v>8169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8">
                  <c:v>-1.9142000001011183E-2</c:v>
                </c:pt>
                <c:pt idx="9">
                  <c:v>-0.10828400000173133</c:v>
                </c:pt>
                <c:pt idx="26">
                  <c:v>-0.13231200000154786</c:v>
                </c:pt>
                <c:pt idx="27">
                  <c:v>-9.2312000000674743E-2</c:v>
                </c:pt>
                <c:pt idx="28">
                  <c:v>-0.13099399999919115</c:v>
                </c:pt>
                <c:pt idx="29">
                  <c:v>-4.1993999999249354E-2</c:v>
                </c:pt>
                <c:pt idx="30">
                  <c:v>1.0060000058729202E-3</c:v>
                </c:pt>
                <c:pt idx="31">
                  <c:v>-0.18044999999983702</c:v>
                </c:pt>
                <c:pt idx="33">
                  <c:v>-0.14524399999936577</c:v>
                </c:pt>
                <c:pt idx="42">
                  <c:v>-4.1575999995984603E-2</c:v>
                </c:pt>
                <c:pt idx="43">
                  <c:v>-4.7976000001654029E-2</c:v>
                </c:pt>
                <c:pt idx="45">
                  <c:v>-6.0168000003613997E-2</c:v>
                </c:pt>
                <c:pt idx="46">
                  <c:v>-8.4970000003522728E-2</c:v>
                </c:pt>
                <c:pt idx="47">
                  <c:v>-0.12173999999504304</c:v>
                </c:pt>
                <c:pt idx="48">
                  <c:v>-0.10101599999325117</c:v>
                </c:pt>
                <c:pt idx="49">
                  <c:v>-9.9337999999988824E-2</c:v>
                </c:pt>
                <c:pt idx="50">
                  <c:v>-9.2405999996117316E-2</c:v>
                </c:pt>
                <c:pt idx="52">
                  <c:v>-0.12217200000304729</c:v>
                </c:pt>
                <c:pt idx="53">
                  <c:v>-0.13389999999344582</c:v>
                </c:pt>
                <c:pt idx="54">
                  <c:v>-0.1175059999950463</c:v>
                </c:pt>
                <c:pt idx="55">
                  <c:v>-0.12609999999403954</c:v>
                </c:pt>
                <c:pt idx="56">
                  <c:v>-0.11523799999849871</c:v>
                </c:pt>
                <c:pt idx="57">
                  <c:v>-0.13116599999921164</c:v>
                </c:pt>
                <c:pt idx="58">
                  <c:v>-0.13789399999950547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8A-4772-998D-702CBC66BF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-7122</c:v>
                </c:pt>
                <c:pt idx="1">
                  <c:v>-2011</c:v>
                </c:pt>
                <c:pt idx="2">
                  <c:v>-1855</c:v>
                </c:pt>
                <c:pt idx="3">
                  <c:v>-1834</c:v>
                </c:pt>
                <c:pt idx="4">
                  <c:v>-1621</c:v>
                </c:pt>
                <c:pt idx="5">
                  <c:v>-1577</c:v>
                </c:pt>
                <c:pt idx="6">
                  <c:v>-1577</c:v>
                </c:pt>
                <c:pt idx="7">
                  <c:v>-1547</c:v>
                </c:pt>
                <c:pt idx="8">
                  <c:v>-1469</c:v>
                </c:pt>
                <c:pt idx="9">
                  <c:v>-1438</c:v>
                </c:pt>
                <c:pt idx="10">
                  <c:v>-1320</c:v>
                </c:pt>
                <c:pt idx="11">
                  <c:v>-1133</c:v>
                </c:pt>
                <c:pt idx="12">
                  <c:v>-1121</c:v>
                </c:pt>
                <c:pt idx="13">
                  <c:v>-1047</c:v>
                </c:pt>
                <c:pt idx="14">
                  <c:v>-913</c:v>
                </c:pt>
                <c:pt idx="15">
                  <c:v>-913</c:v>
                </c:pt>
                <c:pt idx="16">
                  <c:v>-908</c:v>
                </c:pt>
                <c:pt idx="17">
                  <c:v>-777</c:v>
                </c:pt>
                <c:pt idx="18">
                  <c:v>-695</c:v>
                </c:pt>
                <c:pt idx="19">
                  <c:v>-487</c:v>
                </c:pt>
                <c:pt idx="20">
                  <c:v>-487</c:v>
                </c:pt>
                <c:pt idx="21">
                  <c:v>-487</c:v>
                </c:pt>
                <c:pt idx="22">
                  <c:v>-479</c:v>
                </c:pt>
                <c:pt idx="23">
                  <c:v>-417</c:v>
                </c:pt>
                <c:pt idx="24">
                  <c:v>-352</c:v>
                </c:pt>
                <c:pt idx="25">
                  <c:v>-300</c:v>
                </c:pt>
                <c:pt idx="26">
                  <c:v>-284</c:v>
                </c:pt>
                <c:pt idx="27">
                  <c:v>-284</c:v>
                </c:pt>
                <c:pt idx="28">
                  <c:v>-283</c:v>
                </c:pt>
                <c:pt idx="29">
                  <c:v>-283</c:v>
                </c:pt>
                <c:pt idx="30">
                  <c:v>-283</c:v>
                </c:pt>
                <c:pt idx="31">
                  <c:v>-275</c:v>
                </c:pt>
                <c:pt idx="32">
                  <c:v>-158</c:v>
                </c:pt>
                <c:pt idx="33">
                  <c:v>-158</c:v>
                </c:pt>
                <c:pt idx="34">
                  <c:v>-157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46</c:v>
                </c:pt>
                <c:pt idx="41">
                  <c:v>46</c:v>
                </c:pt>
                <c:pt idx="42">
                  <c:v>3668</c:v>
                </c:pt>
                <c:pt idx="43">
                  <c:v>3868</c:v>
                </c:pt>
                <c:pt idx="44">
                  <c:v>3920.5</c:v>
                </c:pt>
                <c:pt idx="45">
                  <c:v>3924</c:v>
                </c:pt>
                <c:pt idx="46">
                  <c:v>4085</c:v>
                </c:pt>
                <c:pt idx="47">
                  <c:v>4570</c:v>
                </c:pt>
                <c:pt idx="48">
                  <c:v>4588</c:v>
                </c:pt>
                <c:pt idx="49">
                  <c:v>4609</c:v>
                </c:pt>
                <c:pt idx="50">
                  <c:v>4983</c:v>
                </c:pt>
                <c:pt idx="51">
                  <c:v>5791</c:v>
                </c:pt>
                <c:pt idx="52">
                  <c:v>5946</c:v>
                </c:pt>
                <c:pt idx="53">
                  <c:v>5950</c:v>
                </c:pt>
                <c:pt idx="54">
                  <c:v>6033</c:v>
                </c:pt>
                <c:pt idx="55">
                  <c:v>6050</c:v>
                </c:pt>
                <c:pt idx="56">
                  <c:v>6059</c:v>
                </c:pt>
                <c:pt idx="57">
                  <c:v>6163</c:v>
                </c:pt>
                <c:pt idx="58">
                  <c:v>6167</c:v>
                </c:pt>
                <c:pt idx="59">
                  <c:v>6181</c:v>
                </c:pt>
                <c:pt idx="60">
                  <c:v>6290</c:v>
                </c:pt>
                <c:pt idx="61">
                  <c:v>6451</c:v>
                </c:pt>
                <c:pt idx="62">
                  <c:v>6459</c:v>
                </c:pt>
                <c:pt idx="63">
                  <c:v>6820</c:v>
                </c:pt>
                <c:pt idx="64">
                  <c:v>6832</c:v>
                </c:pt>
                <c:pt idx="65">
                  <c:v>7137</c:v>
                </c:pt>
                <c:pt idx="66">
                  <c:v>8169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51">
                  <c:v>-0.11006199999974342</c:v>
                </c:pt>
                <c:pt idx="63">
                  <c:v>-7.9940000003261957E-2</c:v>
                </c:pt>
                <c:pt idx="66">
                  <c:v>-0.14665799999784213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8A-4772-998D-702CBC66BF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4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1.4E-3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3.0000000000000001E-3</c:v>
                  </c:pt>
                  <c:pt idx="61">
                    <c:v>3.5000000000000001E-3</c:v>
                  </c:pt>
                  <c:pt idx="62">
                    <c:v>4.1999999999999997E-3</c:v>
                  </c:pt>
                  <c:pt idx="63">
                    <c:v>0</c:v>
                  </c:pt>
                  <c:pt idx="64">
                    <c:v>1.1999999999999999E-3</c:v>
                  </c:pt>
                  <c:pt idx="65">
                    <c:v>4.0000000000000002E-4</c:v>
                  </c:pt>
                  <c:pt idx="66">
                    <c:v>2.3E-3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4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1.4E-3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3.0000000000000001E-3</c:v>
                  </c:pt>
                  <c:pt idx="61">
                    <c:v>3.5000000000000001E-3</c:v>
                  </c:pt>
                  <c:pt idx="62">
                    <c:v>4.1999999999999997E-3</c:v>
                  </c:pt>
                  <c:pt idx="63">
                    <c:v>0</c:v>
                  </c:pt>
                  <c:pt idx="64">
                    <c:v>1.1999999999999999E-3</c:v>
                  </c:pt>
                  <c:pt idx="65">
                    <c:v>4.0000000000000002E-4</c:v>
                  </c:pt>
                  <c:pt idx="66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-7122</c:v>
                </c:pt>
                <c:pt idx="1">
                  <c:v>-2011</c:v>
                </c:pt>
                <c:pt idx="2">
                  <c:v>-1855</c:v>
                </c:pt>
                <c:pt idx="3">
                  <c:v>-1834</c:v>
                </c:pt>
                <c:pt idx="4">
                  <c:v>-1621</c:v>
                </c:pt>
                <c:pt idx="5">
                  <c:v>-1577</c:v>
                </c:pt>
                <c:pt idx="6">
                  <c:v>-1577</c:v>
                </c:pt>
                <c:pt idx="7">
                  <c:v>-1547</c:v>
                </c:pt>
                <c:pt idx="8">
                  <c:v>-1469</c:v>
                </c:pt>
                <c:pt idx="9">
                  <c:v>-1438</c:v>
                </c:pt>
                <c:pt idx="10">
                  <c:v>-1320</c:v>
                </c:pt>
                <c:pt idx="11">
                  <c:v>-1133</c:v>
                </c:pt>
                <c:pt idx="12">
                  <c:v>-1121</c:v>
                </c:pt>
                <c:pt idx="13">
                  <c:v>-1047</c:v>
                </c:pt>
                <c:pt idx="14">
                  <c:v>-913</c:v>
                </c:pt>
                <c:pt idx="15">
                  <c:v>-913</c:v>
                </c:pt>
                <c:pt idx="16">
                  <c:v>-908</c:v>
                </c:pt>
                <c:pt idx="17">
                  <c:v>-777</c:v>
                </c:pt>
                <c:pt idx="18">
                  <c:v>-695</c:v>
                </c:pt>
                <c:pt idx="19">
                  <c:v>-487</c:v>
                </c:pt>
                <c:pt idx="20">
                  <c:v>-487</c:v>
                </c:pt>
                <c:pt idx="21">
                  <c:v>-487</c:v>
                </c:pt>
                <c:pt idx="22">
                  <c:v>-479</c:v>
                </c:pt>
                <c:pt idx="23">
                  <c:v>-417</c:v>
                </c:pt>
                <c:pt idx="24">
                  <c:v>-352</c:v>
                </c:pt>
                <c:pt idx="25">
                  <c:v>-300</c:v>
                </c:pt>
                <c:pt idx="26">
                  <c:v>-284</c:v>
                </c:pt>
                <c:pt idx="27">
                  <c:v>-284</c:v>
                </c:pt>
                <c:pt idx="28">
                  <c:v>-283</c:v>
                </c:pt>
                <c:pt idx="29">
                  <c:v>-283</c:v>
                </c:pt>
                <c:pt idx="30">
                  <c:v>-283</c:v>
                </c:pt>
                <c:pt idx="31">
                  <c:v>-275</c:v>
                </c:pt>
                <c:pt idx="32">
                  <c:v>-158</c:v>
                </c:pt>
                <c:pt idx="33">
                  <c:v>-158</c:v>
                </c:pt>
                <c:pt idx="34">
                  <c:v>-157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46</c:v>
                </c:pt>
                <c:pt idx="41">
                  <c:v>46</c:v>
                </c:pt>
                <c:pt idx="42">
                  <c:v>3668</c:v>
                </c:pt>
                <c:pt idx="43">
                  <c:v>3868</c:v>
                </c:pt>
                <c:pt idx="44">
                  <c:v>3920.5</c:v>
                </c:pt>
                <c:pt idx="45">
                  <c:v>3924</c:v>
                </c:pt>
                <c:pt idx="46">
                  <c:v>4085</c:v>
                </c:pt>
                <c:pt idx="47">
                  <c:v>4570</c:v>
                </c:pt>
                <c:pt idx="48">
                  <c:v>4588</c:v>
                </c:pt>
                <c:pt idx="49">
                  <c:v>4609</c:v>
                </c:pt>
                <c:pt idx="50">
                  <c:v>4983</c:v>
                </c:pt>
                <c:pt idx="51">
                  <c:v>5791</c:v>
                </c:pt>
                <c:pt idx="52">
                  <c:v>5946</c:v>
                </c:pt>
                <c:pt idx="53">
                  <c:v>5950</c:v>
                </c:pt>
                <c:pt idx="54">
                  <c:v>6033</c:v>
                </c:pt>
                <c:pt idx="55">
                  <c:v>6050</c:v>
                </c:pt>
                <c:pt idx="56">
                  <c:v>6059</c:v>
                </c:pt>
                <c:pt idx="57">
                  <c:v>6163</c:v>
                </c:pt>
                <c:pt idx="58">
                  <c:v>6167</c:v>
                </c:pt>
                <c:pt idx="59">
                  <c:v>6181</c:v>
                </c:pt>
                <c:pt idx="60">
                  <c:v>6290</c:v>
                </c:pt>
                <c:pt idx="61">
                  <c:v>6451</c:v>
                </c:pt>
                <c:pt idx="62">
                  <c:v>6459</c:v>
                </c:pt>
                <c:pt idx="63">
                  <c:v>6820</c:v>
                </c:pt>
                <c:pt idx="64">
                  <c:v>6832</c:v>
                </c:pt>
                <c:pt idx="65">
                  <c:v>7137</c:v>
                </c:pt>
                <c:pt idx="66">
                  <c:v>8169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59">
                  <c:v>-0.1172420000002603</c:v>
                </c:pt>
                <c:pt idx="60">
                  <c:v>-0.11635000000387663</c:v>
                </c:pt>
                <c:pt idx="61">
                  <c:v>-0.10889200000383426</c:v>
                </c:pt>
                <c:pt idx="62">
                  <c:v>-0.11469799999758834</c:v>
                </c:pt>
                <c:pt idx="64">
                  <c:v>-0.11502399999153567</c:v>
                </c:pt>
                <c:pt idx="65">
                  <c:v>-0.12083399999391986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8A-4772-998D-702CBC66BF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4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1.4E-3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3.0000000000000001E-3</c:v>
                  </c:pt>
                  <c:pt idx="61">
                    <c:v>3.5000000000000001E-3</c:v>
                  </c:pt>
                  <c:pt idx="62">
                    <c:v>4.1999999999999997E-3</c:v>
                  </c:pt>
                  <c:pt idx="63">
                    <c:v>0</c:v>
                  </c:pt>
                  <c:pt idx="64">
                    <c:v>1.1999999999999999E-3</c:v>
                  </c:pt>
                  <c:pt idx="65">
                    <c:v>4.0000000000000002E-4</c:v>
                  </c:pt>
                  <c:pt idx="66">
                    <c:v>2.3E-3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4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1.4E-3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3.0000000000000001E-3</c:v>
                  </c:pt>
                  <c:pt idx="61">
                    <c:v>3.5000000000000001E-3</c:v>
                  </c:pt>
                  <c:pt idx="62">
                    <c:v>4.1999999999999997E-3</c:v>
                  </c:pt>
                  <c:pt idx="63">
                    <c:v>0</c:v>
                  </c:pt>
                  <c:pt idx="64">
                    <c:v>1.1999999999999999E-3</c:v>
                  </c:pt>
                  <c:pt idx="65">
                    <c:v>4.0000000000000002E-4</c:v>
                  </c:pt>
                  <c:pt idx="66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-7122</c:v>
                </c:pt>
                <c:pt idx="1">
                  <c:v>-2011</c:v>
                </c:pt>
                <c:pt idx="2">
                  <c:v>-1855</c:v>
                </c:pt>
                <c:pt idx="3">
                  <c:v>-1834</c:v>
                </c:pt>
                <c:pt idx="4">
                  <c:v>-1621</c:v>
                </c:pt>
                <c:pt idx="5">
                  <c:v>-1577</c:v>
                </c:pt>
                <c:pt idx="6">
                  <c:v>-1577</c:v>
                </c:pt>
                <c:pt idx="7">
                  <c:v>-1547</c:v>
                </c:pt>
                <c:pt idx="8">
                  <c:v>-1469</c:v>
                </c:pt>
                <c:pt idx="9">
                  <c:v>-1438</c:v>
                </c:pt>
                <c:pt idx="10">
                  <c:v>-1320</c:v>
                </c:pt>
                <c:pt idx="11">
                  <c:v>-1133</c:v>
                </c:pt>
                <c:pt idx="12">
                  <c:v>-1121</c:v>
                </c:pt>
                <c:pt idx="13">
                  <c:v>-1047</c:v>
                </c:pt>
                <c:pt idx="14">
                  <c:v>-913</c:v>
                </c:pt>
                <c:pt idx="15">
                  <c:v>-913</c:v>
                </c:pt>
                <c:pt idx="16">
                  <c:v>-908</c:v>
                </c:pt>
                <c:pt idx="17">
                  <c:v>-777</c:v>
                </c:pt>
                <c:pt idx="18">
                  <c:v>-695</c:v>
                </c:pt>
                <c:pt idx="19">
                  <c:v>-487</c:v>
                </c:pt>
                <c:pt idx="20">
                  <c:v>-487</c:v>
                </c:pt>
                <c:pt idx="21">
                  <c:v>-487</c:v>
                </c:pt>
                <c:pt idx="22">
                  <c:v>-479</c:v>
                </c:pt>
                <c:pt idx="23">
                  <c:v>-417</c:v>
                </c:pt>
                <c:pt idx="24">
                  <c:v>-352</c:v>
                </c:pt>
                <c:pt idx="25">
                  <c:v>-300</c:v>
                </c:pt>
                <c:pt idx="26">
                  <c:v>-284</c:v>
                </c:pt>
                <c:pt idx="27">
                  <c:v>-284</c:v>
                </c:pt>
                <c:pt idx="28">
                  <c:v>-283</c:v>
                </c:pt>
                <c:pt idx="29">
                  <c:v>-283</c:v>
                </c:pt>
                <c:pt idx="30">
                  <c:v>-283</c:v>
                </c:pt>
                <c:pt idx="31">
                  <c:v>-275</c:v>
                </c:pt>
                <c:pt idx="32">
                  <c:v>-158</c:v>
                </c:pt>
                <c:pt idx="33">
                  <c:v>-158</c:v>
                </c:pt>
                <c:pt idx="34">
                  <c:v>-157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46</c:v>
                </c:pt>
                <c:pt idx="41">
                  <c:v>46</c:v>
                </c:pt>
                <c:pt idx="42">
                  <c:v>3668</c:v>
                </c:pt>
                <c:pt idx="43">
                  <c:v>3868</c:v>
                </c:pt>
                <c:pt idx="44">
                  <c:v>3920.5</c:v>
                </c:pt>
                <c:pt idx="45">
                  <c:v>3924</c:v>
                </c:pt>
                <c:pt idx="46">
                  <c:v>4085</c:v>
                </c:pt>
                <c:pt idx="47">
                  <c:v>4570</c:v>
                </c:pt>
                <c:pt idx="48">
                  <c:v>4588</c:v>
                </c:pt>
                <c:pt idx="49">
                  <c:v>4609</c:v>
                </c:pt>
                <c:pt idx="50">
                  <c:v>4983</c:v>
                </c:pt>
                <c:pt idx="51">
                  <c:v>5791</c:v>
                </c:pt>
                <c:pt idx="52">
                  <c:v>5946</c:v>
                </c:pt>
                <c:pt idx="53">
                  <c:v>5950</c:v>
                </c:pt>
                <c:pt idx="54">
                  <c:v>6033</c:v>
                </c:pt>
                <c:pt idx="55">
                  <c:v>6050</c:v>
                </c:pt>
                <c:pt idx="56">
                  <c:v>6059</c:v>
                </c:pt>
                <c:pt idx="57">
                  <c:v>6163</c:v>
                </c:pt>
                <c:pt idx="58">
                  <c:v>6167</c:v>
                </c:pt>
                <c:pt idx="59">
                  <c:v>6181</c:v>
                </c:pt>
                <c:pt idx="60">
                  <c:v>6290</c:v>
                </c:pt>
                <c:pt idx="61">
                  <c:v>6451</c:v>
                </c:pt>
                <c:pt idx="62">
                  <c:v>6459</c:v>
                </c:pt>
                <c:pt idx="63">
                  <c:v>6820</c:v>
                </c:pt>
                <c:pt idx="64">
                  <c:v>6832</c:v>
                </c:pt>
                <c:pt idx="65">
                  <c:v>7137</c:v>
                </c:pt>
                <c:pt idx="66">
                  <c:v>8169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8A-4772-998D-702CBC66BF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4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1.4E-3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3.0000000000000001E-3</c:v>
                  </c:pt>
                  <c:pt idx="61">
                    <c:v>3.5000000000000001E-3</c:v>
                  </c:pt>
                  <c:pt idx="62">
                    <c:v>4.1999999999999997E-3</c:v>
                  </c:pt>
                  <c:pt idx="63">
                    <c:v>0</c:v>
                  </c:pt>
                  <c:pt idx="64">
                    <c:v>1.1999999999999999E-3</c:v>
                  </c:pt>
                  <c:pt idx="65">
                    <c:v>4.0000000000000002E-4</c:v>
                  </c:pt>
                  <c:pt idx="66">
                    <c:v>2.3E-3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4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1.4E-3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3.0000000000000001E-3</c:v>
                  </c:pt>
                  <c:pt idx="61">
                    <c:v>3.5000000000000001E-3</c:v>
                  </c:pt>
                  <c:pt idx="62">
                    <c:v>4.1999999999999997E-3</c:v>
                  </c:pt>
                  <c:pt idx="63">
                    <c:v>0</c:v>
                  </c:pt>
                  <c:pt idx="64">
                    <c:v>1.1999999999999999E-3</c:v>
                  </c:pt>
                  <c:pt idx="65">
                    <c:v>4.0000000000000002E-4</c:v>
                  </c:pt>
                  <c:pt idx="66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-7122</c:v>
                </c:pt>
                <c:pt idx="1">
                  <c:v>-2011</c:v>
                </c:pt>
                <c:pt idx="2">
                  <c:v>-1855</c:v>
                </c:pt>
                <c:pt idx="3">
                  <c:v>-1834</c:v>
                </c:pt>
                <c:pt idx="4">
                  <c:v>-1621</c:v>
                </c:pt>
                <c:pt idx="5">
                  <c:v>-1577</c:v>
                </c:pt>
                <c:pt idx="6">
                  <c:v>-1577</c:v>
                </c:pt>
                <c:pt idx="7">
                  <c:v>-1547</c:v>
                </c:pt>
                <c:pt idx="8">
                  <c:v>-1469</c:v>
                </c:pt>
                <c:pt idx="9">
                  <c:v>-1438</c:v>
                </c:pt>
                <c:pt idx="10">
                  <c:v>-1320</c:v>
                </c:pt>
                <c:pt idx="11">
                  <c:v>-1133</c:v>
                </c:pt>
                <c:pt idx="12">
                  <c:v>-1121</c:v>
                </c:pt>
                <c:pt idx="13">
                  <c:v>-1047</c:v>
                </c:pt>
                <c:pt idx="14">
                  <c:v>-913</c:v>
                </c:pt>
                <c:pt idx="15">
                  <c:v>-913</c:v>
                </c:pt>
                <c:pt idx="16">
                  <c:v>-908</c:v>
                </c:pt>
                <c:pt idx="17">
                  <c:v>-777</c:v>
                </c:pt>
                <c:pt idx="18">
                  <c:v>-695</c:v>
                </c:pt>
                <c:pt idx="19">
                  <c:v>-487</c:v>
                </c:pt>
                <c:pt idx="20">
                  <c:v>-487</c:v>
                </c:pt>
                <c:pt idx="21">
                  <c:v>-487</c:v>
                </c:pt>
                <c:pt idx="22">
                  <c:v>-479</c:v>
                </c:pt>
                <c:pt idx="23">
                  <c:v>-417</c:v>
                </c:pt>
                <c:pt idx="24">
                  <c:v>-352</c:v>
                </c:pt>
                <c:pt idx="25">
                  <c:v>-300</c:v>
                </c:pt>
                <c:pt idx="26">
                  <c:v>-284</c:v>
                </c:pt>
                <c:pt idx="27">
                  <c:v>-284</c:v>
                </c:pt>
                <c:pt idx="28">
                  <c:v>-283</c:v>
                </c:pt>
                <c:pt idx="29">
                  <c:v>-283</c:v>
                </c:pt>
                <c:pt idx="30">
                  <c:v>-283</c:v>
                </c:pt>
                <c:pt idx="31">
                  <c:v>-275</c:v>
                </c:pt>
                <c:pt idx="32">
                  <c:v>-158</c:v>
                </c:pt>
                <c:pt idx="33">
                  <c:v>-158</c:v>
                </c:pt>
                <c:pt idx="34">
                  <c:v>-157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46</c:v>
                </c:pt>
                <c:pt idx="41">
                  <c:v>46</c:v>
                </c:pt>
                <c:pt idx="42">
                  <c:v>3668</c:v>
                </c:pt>
                <c:pt idx="43">
                  <c:v>3868</c:v>
                </c:pt>
                <c:pt idx="44">
                  <c:v>3920.5</c:v>
                </c:pt>
                <c:pt idx="45">
                  <c:v>3924</c:v>
                </c:pt>
                <c:pt idx="46">
                  <c:v>4085</c:v>
                </c:pt>
                <c:pt idx="47">
                  <c:v>4570</c:v>
                </c:pt>
                <c:pt idx="48">
                  <c:v>4588</c:v>
                </c:pt>
                <c:pt idx="49">
                  <c:v>4609</c:v>
                </c:pt>
                <c:pt idx="50">
                  <c:v>4983</c:v>
                </c:pt>
                <c:pt idx="51">
                  <c:v>5791</c:v>
                </c:pt>
                <c:pt idx="52">
                  <c:v>5946</c:v>
                </c:pt>
                <c:pt idx="53">
                  <c:v>5950</c:v>
                </c:pt>
                <c:pt idx="54">
                  <c:v>6033</c:v>
                </c:pt>
                <c:pt idx="55">
                  <c:v>6050</c:v>
                </c:pt>
                <c:pt idx="56">
                  <c:v>6059</c:v>
                </c:pt>
                <c:pt idx="57">
                  <c:v>6163</c:v>
                </c:pt>
                <c:pt idx="58">
                  <c:v>6167</c:v>
                </c:pt>
                <c:pt idx="59">
                  <c:v>6181</c:v>
                </c:pt>
                <c:pt idx="60">
                  <c:v>6290</c:v>
                </c:pt>
                <c:pt idx="61">
                  <c:v>6451</c:v>
                </c:pt>
                <c:pt idx="62">
                  <c:v>6459</c:v>
                </c:pt>
                <c:pt idx="63">
                  <c:v>6820</c:v>
                </c:pt>
                <c:pt idx="64">
                  <c:v>6832</c:v>
                </c:pt>
                <c:pt idx="65">
                  <c:v>7137</c:v>
                </c:pt>
                <c:pt idx="66">
                  <c:v>8169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8A-4772-998D-702CBC66BF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4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1.4E-3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3.0000000000000001E-3</c:v>
                  </c:pt>
                  <c:pt idx="61">
                    <c:v>3.5000000000000001E-3</c:v>
                  </c:pt>
                  <c:pt idx="62">
                    <c:v>4.1999999999999997E-3</c:v>
                  </c:pt>
                  <c:pt idx="63">
                    <c:v>0</c:v>
                  </c:pt>
                  <c:pt idx="64">
                    <c:v>1.1999999999999999E-3</c:v>
                  </c:pt>
                  <c:pt idx="65">
                    <c:v>4.0000000000000002E-4</c:v>
                  </c:pt>
                  <c:pt idx="66">
                    <c:v>2.3E-3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4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1.4E-3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3.0000000000000001E-3</c:v>
                  </c:pt>
                  <c:pt idx="61">
                    <c:v>3.5000000000000001E-3</c:v>
                  </c:pt>
                  <c:pt idx="62">
                    <c:v>4.1999999999999997E-3</c:v>
                  </c:pt>
                  <c:pt idx="63">
                    <c:v>0</c:v>
                  </c:pt>
                  <c:pt idx="64">
                    <c:v>1.1999999999999999E-3</c:v>
                  </c:pt>
                  <c:pt idx="65">
                    <c:v>4.0000000000000002E-4</c:v>
                  </c:pt>
                  <c:pt idx="66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-7122</c:v>
                </c:pt>
                <c:pt idx="1">
                  <c:v>-2011</c:v>
                </c:pt>
                <c:pt idx="2">
                  <c:v>-1855</c:v>
                </c:pt>
                <c:pt idx="3">
                  <c:v>-1834</c:v>
                </c:pt>
                <c:pt idx="4">
                  <c:v>-1621</c:v>
                </c:pt>
                <c:pt idx="5">
                  <c:v>-1577</c:v>
                </c:pt>
                <c:pt idx="6">
                  <c:v>-1577</c:v>
                </c:pt>
                <c:pt idx="7">
                  <c:v>-1547</c:v>
                </c:pt>
                <c:pt idx="8">
                  <c:v>-1469</c:v>
                </c:pt>
                <c:pt idx="9">
                  <c:v>-1438</c:v>
                </c:pt>
                <c:pt idx="10">
                  <c:v>-1320</c:v>
                </c:pt>
                <c:pt idx="11">
                  <c:v>-1133</c:v>
                </c:pt>
                <c:pt idx="12">
                  <c:v>-1121</c:v>
                </c:pt>
                <c:pt idx="13">
                  <c:v>-1047</c:v>
                </c:pt>
                <c:pt idx="14">
                  <c:v>-913</c:v>
                </c:pt>
                <c:pt idx="15">
                  <c:v>-913</c:v>
                </c:pt>
                <c:pt idx="16">
                  <c:v>-908</c:v>
                </c:pt>
                <c:pt idx="17">
                  <c:v>-777</c:v>
                </c:pt>
                <c:pt idx="18">
                  <c:v>-695</c:v>
                </c:pt>
                <c:pt idx="19">
                  <c:v>-487</c:v>
                </c:pt>
                <c:pt idx="20">
                  <c:v>-487</c:v>
                </c:pt>
                <c:pt idx="21">
                  <c:v>-487</c:v>
                </c:pt>
                <c:pt idx="22">
                  <c:v>-479</c:v>
                </c:pt>
                <c:pt idx="23">
                  <c:v>-417</c:v>
                </c:pt>
                <c:pt idx="24">
                  <c:v>-352</c:v>
                </c:pt>
                <c:pt idx="25">
                  <c:v>-300</c:v>
                </c:pt>
                <c:pt idx="26">
                  <c:v>-284</c:v>
                </c:pt>
                <c:pt idx="27">
                  <c:v>-284</c:v>
                </c:pt>
                <c:pt idx="28">
                  <c:v>-283</c:v>
                </c:pt>
                <c:pt idx="29">
                  <c:v>-283</c:v>
                </c:pt>
                <c:pt idx="30">
                  <c:v>-283</c:v>
                </c:pt>
                <c:pt idx="31">
                  <c:v>-275</c:v>
                </c:pt>
                <c:pt idx="32">
                  <c:v>-158</c:v>
                </c:pt>
                <c:pt idx="33">
                  <c:v>-158</c:v>
                </c:pt>
                <c:pt idx="34">
                  <c:v>-157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46</c:v>
                </c:pt>
                <c:pt idx="41">
                  <c:v>46</c:v>
                </c:pt>
                <c:pt idx="42">
                  <c:v>3668</c:v>
                </c:pt>
                <c:pt idx="43">
                  <c:v>3868</c:v>
                </c:pt>
                <c:pt idx="44">
                  <c:v>3920.5</c:v>
                </c:pt>
                <c:pt idx="45">
                  <c:v>3924</c:v>
                </c:pt>
                <c:pt idx="46">
                  <c:v>4085</c:v>
                </c:pt>
                <c:pt idx="47">
                  <c:v>4570</c:v>
                </c:pt>
                <c:pt idx="48">
                  <c:v>4588</c:v>
                </c:pt>
                <c:pt idx="49">
                  <c:v>4609</c:v>
                </c:pt>
                <c:pt idx="50">
                  <c:v>4983</c:v>
                </c:pt>
                <c:pt idx="51">
                  <c:v>5791</c:v>
                </c:pt>
                <c:pt idx="52">
                  <c:v>5946</c:v>
                </c:pt>
                <c:pt idx="53">
                  <c:v>5950</c:v>
                </c:pt>
                <c:pt idx="54">
                  <c:v>6033</c:v>
                </c:pt>
                <c:pt idx="55">
                  <c:v>6050</c:v>
                </c:pt>
                <c:pt idx="56">
                  <c:v>6059</c:v>
                </c:pt>
                <c:pt idx="57">
                  <c:v>6163</c:v>
                </c:pt>
                <c:pt idx="58">
                  <c:v>6167</c:v>
                </c:pt>
                <c:pt idx="59">
                  <c:v>6181</c:v>
                </c:pt>
                <c:pt idx="60">
                  <c:v>6290</c:v>
                </c:pt>
                <c:pt idx="61">
                  <c:v>6451</c:v>
                </c:pt>
                <c:pt idx="62">
                  <c:v>6459</c:v>
                </c:pt>
                <c:pt idx="63">
                  <c:v>6820</c:v>
                </c:pt>
                <c:pt idx="64">
                  <c:v>6832</c:v>
                </c:pt>
                <c:pt idx="65">
                  <c:v>7137</c:v>
                </c:pt>
                <c:pt idx="66">
                  <c:v>8169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8A-4772-998D-702CBC66BF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-7122</c:v>
                </c:pt>
                <c:pt idx="1">
                  <c:v>-2011</c:v>
                </c:pt>
                <c:pt idx="2">
                  <c:v>-1855</c:v>
                </c:pt>
                <c:pt idx="3">
                  <c:v>-1834</c:v>
                </c:pt>
                <c:pt idx="4">
                  <c:v>-1621</c:v>
                </c:pt>
                <c:pt idx="5">
                  <c:v>-1577</c:v>
                </c:pt>
                <c:pt idx="6">
                  <c:v>-1577</c:v>
                </c:pt>
                <c:pt idx="7">
                  <c:v>-1547</c:v>
                </c:pt>
                <c:pt idx="8">
                  <c:v>-1469</c:v>
                </c:pt>
                <c:pt idx="9">
                  <c:v>-1438</c:v>
                </c:pt>
                <c:pt idx="10">
                  <c:v>-1320</c:v>
                </c:pt>
                <c:pt idx="11">
                  <c:v>-1133</c:v>
                </c:pt>
                <c:pt idx="12">
                  <c:v>-1121</c:v>
                </c:pt>
                <c:pt idx="13">
                  <c:v>-1047</c:v>
                </c:pt>
                <c:pt idx="14">
                  <c:v>-913</c:v>
                </c:pt>
                <c:pt idx="15">
                  <c:v>-913</c:v>
                </c:pt>
                <c:pt idx="16">
                  <c:v>-908</c:v>
                </c:pt>
                <c:pt idx="17">
                  <c:v>-777</c:v>
                </c:pt>
                <c:pt idx="18">
                  <c:v>-695</c:v>
                </c:pt>
                <c:pt idx="19">
                  <c:v>-487</c:v>
                </c:pt>
                <c:pt idx="20">
                  <c:v>-487</c:v>
                </c:pt>
                <c:pt idx="21">
                  <c:v>-487</c:v>
                </c:pt>
                <c:pt idx="22">
                  <c:v>-479</c:v>
                </c:pt>
                <c:pt idx="23">
                  <c:v>-417</c:v>
                </c:pt>
                <c:pt idx="24">
                  <c:v>-352</c:v>
                </c:pt>
                <c:pt idx="25">
                  <c:v>-300</c:v>
                </c:pt>
                <c:pt idx="26">
                  <c:v>-284</c:v>
                </c:pt>
                <c:pt idx="27">
                  <c:v>-284</c:v>
                </c:pt>
                <c:pt idx="28">
                  <c:v>-283</c:v>
                </c:pt>
                <c:pt idx="29">
                  <c:v>-283</c:v>
                </c:pt>
                <c:pt idx="30">
                  <c:v>-283</c:v>
                </c:pt>
                <c:pt idx="31">
                  <c:v>-275</c:v>
                </c:pt>
                <c:pt idx="32">
                  <c:v>-158</c:v>
                </c:pt>
                <c:pt idx="33">
                  <c:v>-158</c:v>
                </c:pt>
                <c:pt idx="34">
                  <c:v>-157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46</c:v>
                </c:pt>
                <c:pt idx="41">
                  <c:v>46</c:v>
                </c:pt>
                <c:pt idx="42">
                  <c:v>3668</c:v>
                </c:pt>
                <c:pt idx="43">
                  <c:v>3868</c:v>
                </c:pt>
                <c:pt idx="44">
                  <c:v>3920.5</c:v>
                </c:pt>
                <c:pt idx="45">
                  <c:v>3924</c:v>
                </c:pt>
                <c:pt idx="46">
                  <c:v>4085</c:v>
                </c:pt>
                <c:pt idx="47">
                  <c:v>4570</c:v>
                </c:pt>
                <c:pt idx="48">
                  <c:v>4588</c:v>
                </c:pt>
                <c:pt idx="49">
                  <c:v>4609</c:v>
                </c:pt>
                <c:pt idx="50">
                  <c:v>4983</c:v>
                </c:pt>
                <c:pt idx="51">
                  <c:v>5791</c:v>
                </c:pt>
                <c:pt idx="52">
                  <c:v>5946</c:v>
                </c:pt>
                <c:pt idx="53">
                  <c:v>5950</c:v>
                </c:pt>
                <c:pt idx="54">
                  <c:v>6033</c:v>
                </c:pt>
                <c:pt idx="55">
                  <c:v>6050</c:v>
                </c:pt>
                <c:pt idx="56">
                  <c:v>6059</c:v>
                </c:pt>
                <c:pt idx="57">
                  <c:v>6163</c:v>
                </c:pt>
                <c:pt idx="58">
                  <c:v>6167</c:v>
                </c:pt>
                <c:pt idx="59">
                  <c:v>6181</c:v>
                </c:pt>
                <c:pt idx="60">
                  <c:v>6290</c:v>
                </c:pt>
                <c:pt idx="61">
                  <c:v>6451</c:v>
                </c:pt>
                <c:pt idx="62">
                  <c:v>6459</c:v>
                </c:pt>
                <c:pt idx="63">
                  <c:v>6820</c:v>
                </c:pt>
                <c:pt idx="64">
                  <c:v>6832</c:v>
                </c:pt>
                <c:pt idx="65">
                  <c:v>7137</c:v>
                </c:pt>
                <c:pt idx="66">
                  <c:v>8169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-6.2370894057243789E-3</c:v>
                </c:pt>
                <c:pt idx="1">
                  <c:v>-4.3690970283174493E-2</c:v>
                </c:pt>
                <c:pt idx="2">
                  <c:v>-4.4834152716530434E-2</c:v>
                </c:pt>
                <c:pt idx="3">
                  <c:v>-4.498804265948219E-2</c:v>
                </c:pt>
                <c:pt idx="4">
                  <c:v>-4.6548926366564346E-2</c:v>
                </c:pt>
                <c:pt idx="5">
                  <c:v>-4.6871362437510888E-2</c:v>
                </c:pt>
                <c:pt idx="6">
                  <c:v>-4.6871362437510888E-2</c:v>
                </c:pt>
                <c:pt idx="7">
                  <c:v>-4.7091205213156268E-2</c:v>
                </c:pt>
                <c:pt idx="8">
                  <c:v>-4.7662796429834231E-2</c:v>
                </c:pt>
                <c:pt idx="9">
                  <c:v>-4.7889967298001122E-2</c:v>
                </c:pt>
                <c:pt idx="10">
                  <c:v>-4.8754682215539594E-2</c:v>
                </c:pt>
                <c:pt idx="11">
                  <c:v>-5.0125035517062419E-2</c:v>
                </c:pt>
                <c:pt idx="12">
                  <c:v>-5.0212972627320565E-2</c:v>
                </c:pt>
                <c:pt idx="13">
                  <c:v>-5.0755251473912487E-2</c:v>
                </c:pt>
                <c:pt idx="14">
                  <c:v>-5.1737215871795153E-2</c:v>
                </c:pt>
                <c:pt idx="15">
                  <c:v>-5.1737215871795153E-2</c:v>
                </c:pt>
                <c:pt idx="16">
                  <c:v>-5.1773856334402721E-2</c:v>
                </c:pt>
                <c:pt idx="17">
                  <c:v>-5.273383645472085E-2</c:v>
                </c:pt>
                <c:pt idx="18">
                  <c:v>-5.333474004148487E-2</c:v>
                </c:pt>
                <c:pt idx="19">
                  <c:v>-5.4858983285959458E-2</c:v>
                </c:pt>
                <c:pt idx="20">
                  <c:v>-5.4858983285959458E-2</c:v>
                </c:pt>
                <c:pt idx="21">
                  <c:v>-5.4858983285959458E-2</c:v>
                </c:pt>
                <c:pt idx="22">
                  <c:v>-5.4917608026131555E-2</c:v>
                </c:pt>
                <c:pt idx="23">
                  <c:v>-5.5371949762465331E-2</c:v>
                </c:pt>
                <c:pt idx="24">
                  <c:v>-5.5848275776363636E-2</c:v>
                </c:pt>
                <c:pt idx="25">
                  <c:v>-5.6229336587482283E-2</c:v>
                </c:pt>
                <c:pt idx="26">
                  <c:v>-5.6346586067826485E-2</c:v>
                </c:pt>
                <c:pt idx="27">
                  <c:v>-5.6346586067826485E-2</c:v>
                </c:pt>
                <c:pt idx="28">
                  <c:v>-5.6353914160347997E-2</c:v>
                </c:pt>
                <c:pt idx="29">
                  <c:v>-5.6353914160347997E-2</c:v>
                </c:pt>
                <c:pt idx="30">
                  <c:v>-5.6353914160347997E-2</c:v>
                </c:pt>
                <c:pt idx="31">
                  <c:v>-5.6412538900520094E-2</c:v>
                </c:pt>
                <c:pt idx="32">
                  <c:v>-5.7269925725537053E-2</c:v>
                </c:pt>
                <c:pt idx="33">
                  <c:v>-5.7269925725537053E-2</c:v>
                </c:pt>
                <c:pt idx="34">
                  <c:v>-5.7277253818058566E-2</c:v>
                </c:pt>
                <c:pt idx="35">
                  <c:v>-5.8427764343936019E-2</c:v>
                </c:pt>
                <c:pt idx="36">
                  <c:v>-5.8427764343936019E-2</c:v>
                </c:pt>
                <c:pt idx="37">
                  <c:v>-5.8427764343936019E-2</c:v>
                </c:pt>
                <c:pt idx="38">
                  <c:v>-5.8427764343936019E-2</c:v>
                </c:pt>
                <c:pt idx="39">
                  <c:v>-5.8427764343936019E-2</c:v>
                </c:pt>
                <c:pt idx="40">
                  <c:v>-5.8764856599925593E-2</c:v>
                </c:pt>
                <c:pt idx="41">
                  <c:v>-5.8764856599925593E-2</c:v>
                </c:pt>
                <c:pt idx="42">
                  <c:v>-8.5307207712843669E-2</c:v>
                </c:pt>
                <c:pt idx="43">
                  <c:v>-8.677282621714616E-2</c:v>
                </c:pt>
                <c:pt idx="44">
                  <c:v>-8.7157551074525566E-2</c:v>
                </c:pt>
                <c:pt idx="45">
                  <c:v>-8.7183199398350855E-2</c:v>
                </c:pt>
                <c:pt idx="46">
                  <c:v>-8.8363022294314364E-2</c:v>
                </c:pt>
                <c:pt idx="47">
                  <c:v>-9.1917147167247901E-2</c:v>
                </c:pt>
                <c:pt idx="48">
                  <c:v>-9.204905283263512E-2</c:v>
                </c:pt>
                <c:pt idx="49">
                  <c:v>-9.2202942775586882E-2</c:v>
                </c:pt>
                <c:pt idx="50">
                  <c:v>-9.4943649378632533E-2</c:v>
                </c:pt>
                <c:pt idx="51">
                  <c:v>-0.10086474813601459</c:v>
                </c:pt>
                <c:pt idx="52">
                  <c:v>-0.10200060247684903</c:v>
                </c:pt>
                <c:pt idx="53">
                  <c:v>-0.10202991484693508</c:v>
                </c:pt>
                <c:pt idx="54">
                  <c:v>-0.10263814652622061</c:v>
                </c:pt>
                <c:pt idx="55">
                  <c:v>-0.10276272409908632</c:v>
                </c:pt>
                <c:pt idx="56">
                  <c:v>-0.10282867693177994</c:v>
                </c:pt>
                <c:pt idx="57">
                  <c:v>-0.10359079855401723</c:v>
                </c:pt>
                <c:pt idx="58">
                  <c:v>-0.10362011092410328</c:v>
                </c:pt>
                <c:pt idx="59">
                  <c:v>-0.10372270421940444</c:v>
                </c:pt>
                <c:pt idx="60">
                  <c:v>-0.1045214663042493</c:v>
                </c:pt>
                <c:pt idx="61">
                  <c:v>-0.10570128920021281</c:v>
                </c:pt>
                <c:pt idx="62">
                  <c:v>-0.10575991394038491</c:v>
                </c:pt>
                <c:pt idx="63">
                  <c:v>-0.10840535534065091</c:v>
                </c:pt>
                <c:pt idx="64">
                  <c:v>-0.10849329245090905</c:v>
                </c:pt>
                <c:pt idx="65">
                  <c:v>-0.11072836066997035</c:v>
                </c:pt>
                <c:pt idx="66">
                  <c:v>-0.1182909521521712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8A-4772-998D-702CBC66BF6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-7122</c:v>
                </c:pt>
                <c:pt idx="1">
                  <c:v>-2011</c:v>
                </c:pt>
                <c:pt idx="2">
                  <c:v>-1855</c:v>
                </c:pt>
                <c:pt idx="3">
                  <c:v>-1834</c:v>
                </c:pt>
                <c:pt idx="4">
                  <c:v>-1621</c:v>
                </c:pt>
                <c:pt idx="5">
                  <c:v>-1577</c:v>
                </c:pt>
                <c:pt idx="6">
                  <c:v>-1577</c:v>
                </c:pt>
                <c:pt idx="7">
                  <c:v>-1547</c:v>
                </c:pt>
                <c:pt idx="8">
                  <c:v>-1469</c:v>
                </c:pt>
                <c:pt idx="9">
                  <c:v>-1438</c:v>
                </c:pt>
                <c:pt idx="10">
                  <c:v>-1320</c:v>
                </c:pt>
                <c:pt idx="11">
                  <c:v>-1133</c:v>
                </c:pt>
                <c:pt idx="12">
                  <c:v>-1121</c:v>
                </c:pt>
                <c:pt idx="13">
                  <c:v>-1047</c:v>
                </c:pt>
                <c:pt idx="14">
                  <c:v>-913</c:v>
                </c:pt>
                <c:pt idx="15">
                  <c:v>-913</c:v>
                </c:pt>
                <c:pt idx="16">
                  <c:v>-908</c:v>
                </c:pt>
                <c:pt idx="17">
                  <c:v>-777</c:v>
                </c:pt>
                <c:pt idx="18">
                  <c:v>-695</c:v>
                </c:pt>
                <c:pt idx="19">
                  <c:v>-487</c:v>
                </c:pt>
                <c:pt idx="20">
                  <c:v>-487</c:v>
                </c:pt>
                <c:pt idx="21">
                  <c:v>-487</c:v>
                </c:pt>
                <c:pt idx="22">
                  <c:v>-479</c:v>
                </c:pt>
                <c:pt idx="23">
                  <c:v>-417</c:v>
                </c:pt>
                <c:pt idx="24">
                  <c:v>-352</c:v>
                </c:pt>
                <c:pt idx="25">
                  <c:v>-300</c:v>
                </c:pt>
                <c:pt idx="26">
                  <c:v>-284</c:v>
                </c:pt>
                <c:pt idx="27">
                  <c:v>-284</c:v>
                </c:pt>
                <c:pt idx="28">
                  <c:v>-283</c:v>
                </c:pt>
                <c:pt idx="29">
                  <c:v>-283</c:v>
                </c:pt>
                <c:pt idx="30">
                  <c:v>-283</c:v>
                </c:pt>
                <c:pt idx="31">
                  <c:v>-275</c:v>
                </c:pt>
                <c:pt idx="32">
                  <c:v>-158</c:v>
                </c:pt>
                <c:pt idx="33">
                  <c:v>-158</c:v>
                </c:pt>
                <c:pt idx="34">
                  <c:v>-157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46</c:v>
                </c:pt>
                <c:pt idx="41">
                  <c:v>46</c:v>
                </c:pt>
                <c:pt idx="42">
                  <c:v>3668</c:v>
                </c:pt>
                <c:pt idx="43">
                  <c:v>3868</c:v>
                </c:pt>
                <c:pt idx="44">
                  <c:v>3920.5</c:v>
                </c:pt>
                <c:pt idx="45">
                  <c:v>3924</c:v>
                </c:pt>
                <c:pt idx="46">
                  <c:v>4085</c:v>
                </c:pt>
                <c:pt idx="47">
                  <c:v>4570</c:v>
                </c:pt>
                <c:pt idx="48">
                  <c:v>4588</c:v>
                </c:pt>
                <c:pt idx="49">
                  <c:v>4609</c:v>
                </c:pt>
                <c:pt idx="50">
                  <c:v>4983</c:v>
                </c:pt>
                <c:pt idx="51">
                  <c:v>5791</c:v>
                </c:pt>
                <c:pt idx="52">
                  <c:v>5946</c:v>
                </c:pt>
                <c:pt idx="53">
                  <c:v>5950</c:v>
                </c:pt>
                <c:pt idx="54">
                  <c:v>6033</c:v>
                </c:pt>
                <c:pt idx="55">
                  <c:v>6050</c:v>
                </c:pt>
                <c:pt idx="56">
                  <c:v>6059</c:v>
                </c:pt>
                <c:pt idx="57">
                  <c:v>6163</c:v>
                </c:pt>
                <c:pt idx="58">
                  <c:v>6167</c:v>
                </c:pt>
                <c:pt idx="59">
                  <c:v>6181</c:v>
                </c:pt>
                <c:pt idx="60">
                  <c:v>6290</c:v>
                </c:pt>
                <c:pt idx="61">
                  <c:v>6451</c:v>
                </c:pt>
                <c:pt idx="62">
                  <c:v>6459</c:v>
                </c:pt>
                <c:pt idx="63">
                  <c:v>6820</c:v>
                </c:pt>
                <c:pt idx="64">
                  <c:v>6832</c:v>
                </c:pt>
                <c:pt idx="65">
                  <c:v>7137</c:v>
                </c:pt>
                <c:pt idx="66">
                  <c:v>8169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44">
                  <c:v>0.63371899999765446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8A-4772-998D-702CBC66B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457952"/>
        <c:axId val="1"/>
      </c:scatterChart>
      <c:valAx>
        <c:axId val="422457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7368421052631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986842105263157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457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131578947368421"/>
          <c:y val="0.92000129214617399"/>
          <c:w val="0.7911184210526315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0</xdr:row>
      <xdr:rowOff>0</xdr:rowOff>
    </xdr:from>
    <xdr:to>
      <xdr:col>18</xdr:col>
      <xdr:colOff>438149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B76490C-6F29-ED8D-58A8-4E8E712B49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5741" TargetMode="External"/><Relationship Id="rId2" Type="http://schemas.openxmlformats.org/officeDocument/2006/relationships/hyperlink" Target="http://www.konkoly.hu/cgi-bin/IBVS?526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4-5" TargetMode="External"/><Relationship Id="rId5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78"/>
  <sheetViews>
    <sheetView tabSelected="1" workbookViewId="0">
      <pane xSplit="14" ySplit="22" topLeftCell="O71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41</v>
      </c>
    </row>
    <row r="2" spans="1:6">
      <c r="A2" t="s">
        <v>24</v>
      </c>
      <c r="B2" t="s">
        <v>300</v>
      </c>
      <c r="D2" s="53" t="s">
        <v>301</v>
      </c>
      <c r="E2" s="53"/>
    </row>
    <row r="4" spans="1:6" ht="14.25" thickTop="1" thickBot="1">
      <c r="A4" s="7" t="s">
        <v>0</v>
      </c>
      <c r="C4" s="3">
        <v>34330.21</v>
      </c>
      <c r="D4" s="4">
        <v>2.769682</v>
      </c>
    </row>
    <row r="5" spans="1:6" ht="13.5" thickTop="1">
      <c r="A5" s="18" t="s">
        <v>42</v>
      </c>
      <c r="B5" s="19"/>
      <c r="C5" s="20">
        <v>-9.5</v>
      </c>
      <c r="D5" s="19" t="s">
        <v>43</v>
      </c>
    </row>
    <row r="6" spans="1:6">
      <c r="A6" s="7" t="s">
        <v>1</v>
      </c>
    </row>
    <row r="7" spans="1:6">
      <c r="A7" t="s">
        <v>2</v>
      </c>
      <c r="C7">
        <f>+C4</f>
        <v>34330.21</v>
      </c>
    </row>
    <row r="8" spans="1:6">
      <c r="A8" t="s">
        <v>3</v>
      </c>
      <c r="C8">
        <f>+D4</f>
        <v>2.769682</v>
      </c>
    </row>
    <row r="9" spans="1:6">
      <c r="A9" s="33" t="s">
        <v>50</v>
      </c>
      <c r="B9" s="34">
        <v>21</v>
      </c>
      <c r="C9" s="22" t="str">
        <f>"F"&amp;B9</f>
        <v>F21</v>
      </c>
      <c r="D9" s="23" t="str">
        <f>"G"&amp;B9</f>
        <v>G21</v>
      </c>
    </row>
    <row r="10" spans="1:6" ht="13.5" thickBot="1">
      <c r="A10" s="19"/>
      <c r="B10" s="19"/>
      <c r="C10" s="6" t="s">
        <v>20</v>
      </c>
      <c r="D10" s="6" t="s">
        <v>21</v>
      </c>
      <c r="E10" s="19"/>
    </row>
    <row r="11" spans="1:6">
      <c r="A11" s="19" t="s">
        <v>16</v>
      </c>
      <c r="B11" s="19"/>
      <c r="C11" s="21">
        <f ca="1">INTERCEPT(INDIRECT($D$9):G992,INDIRECT($C$9):F992)</f>
        <v>-5.8427764343936019E-2</v>
      </c>
      <c r="D11" s="5"/>
      <c r="E11" s="19"/>
    </row>
    <row r="12" spans="1:6">
      <c r="A12" s="19" t="s">
        <v>17</v>
      </c>
      <c r="B12" s="19"/>
      <c r="C12" s="21">
        <f ca="1">SLOPE(INDIRECT($D$9):G992,INDIRECT($C$9):F992)</f>
        <v>-7.3280925215124461E-6</v>
      </c>
      <c r="D12" s="5"/>
      <c r="E12" s="19"/>
    </row>
    <row r="13" spans="1:6">
      <c r="A13" s="19" t="s">
        <v>19</v>
      </c>
      <c r="B13" s="19"/>
      <c r="C13" s="5" t="s">
        <v>14</v>
      </c>
    </row>
    <row r="14" spans="1:6">
      <c r="A14" s="19"/>
      <c r="B14" s="19"/>
      <c r="C14" s="19"/>
    </row>
    <row r="15" spans="1:6">
      <c r="A15" s="24" t="s">
        <v>18</v>
      </c>
      <c r="B15" s="19"/>
      <c r="C15" s="25">
        <f ca="1">(C7+C11)+(C8+C12)*INT(MAX(F21:F3533))</f>
        <v>56955.623967047846</v>
      </c>
      <c r="E15" s="26" t="s">
        <v>297</v>
      </c>
      <c r="F15" s="20">
        <v>1</v>
      </c>
    </row>
    <row r="16" spans="1:6">
      <c r="A16" s="28" t="s">
        <v>4</v>
      </c>
      <c r="B16" s="19"/>
      <c r="C16" s="29">
        <f ca="1">+C8+C12</f>
        <v>2.7696746719074783</v>
      </c>
      <c r="E16" s="26" t="s">
        <v>44</v>
      </c>
      <c r="F16" s="27">
        <f ca="1">NOW()+15018.5+$C$5/24</f>
        <v>60328.747316666668</v>
      </c>
    </row>
    <row r="17" spans="1:21" ht="13.5" thickBot="1">
      <c r="A17" s="26" t="s">
        <v>40</v>
      </c>
      <c r="B17" s="19"/>
      <c r="C17" s="19">
        <f>COUNT(C21:C2191)</f>
        <v>67</v>
      </c>
      <c r="E17" s="26" t="s">
        <v>298</v>
      </c>
      <c r="F17" s="27">
        <f ca="1">ROUND(2*(F16-$C$7)/$C$8,0)/2+F15</f>
        <v>9388</v>
      </c>
    </row>
    <row r="18" spans="1:21" ht="14.25" thickTop="1" thickBot="1">
      <c r="A18" s="28" t="s">
        <v>5</v>
      </c>
      <c r="B18" s="19"/>
      <c r="C18" s="31">
        <f ca="1">+C15</f>
        <v>56955.623967047846</v>
      </c>
      <c r="D18" s="32">
        <f ca="1">+C16</f>
        <v>2.7696746719074783</v>
      </c>
      <c r="E18" s="26" t="s">
        <v>45</v>
      </c>
      <c r="F18" s="23">
        <f ca="1">ROUND(2*(F16-$C$15)/$C$16,0)/2+F15</f>
        <v>1219</v>
      </c>
    </row>
    <row r="19" spans="1:21" ht="13.5" thickTop="1">
      <c r="E19" s="26" t="s">
        <v>46</v>
      </c>
      <c r="F19" s="30">
        <f ca="1">+$C$15+$C$16*F18-15018.5-$C$5/24</f>
        <v>45313.753225436398</v>
      </c>
    </row>
    <row r="20" spans="1:2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59</v>
      </c>
      <c r="I20" s="9" t="s">
        <v>62</v>
      </c>
      <c r="J20" s="9" t="s">
        <v>56</v>
      </c>
      <c r="K20" s="9" t="s">
        <v>54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52" t="s">
        <v>299</v>
      </c>
    </row>
    <row r="21" spans="1:21" ht="12.75" customHeight="1">
      <c r="A21" s="50" t="s">
        <v>68</v>
      </c>
      <c r="B21" s="51" t="s">
        <v>39</v>
      </c>
      <c r="C21" s="50">
        <v>14604.349</v>
      </c>
      <c r="D21" s="50" t="s">
        <v>62</v>
      </c>
      <c r="E21">
        <f t="shared" ref="E21:E52" si="0">+(C21-C$7)/C$8</f>
        <v>-7122.0670820693485</v>
      </c>
      <c r="F21">
        <f t="shared" ref="F21:F52" si="1">ROUND(2*E21,0)/2</f>
        <v>-7122</v>
      </c>
      <c r="G21">
        <f t="shared" ref="G21:G64" si="2">+C21-(C$7+F21*C$8)</f>
        <v>-0.18579599999975471</v>
      </c>
      <c r="H21">
        <f t="shared" ref="H21:H28" si="3">+G21</f>
        <v>-0.18579599999975471</v>
      </c>
      <c r="O21">
        <f t="shared" ref="O21:O52" ca="1" si="4">+C$11+C$12*F21</f>
        <v>-6.2370894057243789E-3</v>
      </c>
      <c r="Q21" s="2" t="s">
        <v>302</v>
      </c>
    </row>
    <row r="22" spans="1:21" ht="12.75" customHeight="1">
      <c r="A22" s="50" t="s">
        <v>72</v>
      </c>
      <c r="B22" s="51" t="s">
        <v>39</v>
      </c>
      <c r="C22" s="50">
        <v>28760.471000000001</v>
      </c>
      <c r="D22" s="50" t="s">
        <v>62</v>
      </c>
      <c r="E22">
        <f t="shared" si="0"/>
        <v>-2010.9669629943069</v>
      </c>
      <c r="F22">
        <f t="shared" si="1"/>
        <v>-2011</v>
      </c>
      <c r="G22">
        <f t="shared" si="2"/>
        <v>9.150200000294717E-2</v>
      </c>
      <c r="H22">
        <f t="shared" si="3"/>
        <v>9.150200000294717E-2</v>
      </c>
      <c r="O22">
        <f t="shared" ca="1" si="4"/>
        <v>-4.3690970283174493E-2</v>
      </c>
      <c r="Q22" s="2">
        <f t="shared" ref="Q21:Q52" si="5">+C22-15018.5</f>
        <v>13741.971000000001</v>
      </c>
    </row>
    <row r="23" spans="1:21" ht="12.75" customHeight="1">
      <c r="A23" s="50" t="s">
        <v>72</v>
      </c>
      <c r="B23" s="51" t="s">
        <v>39</v>
      </c>
      <c r="C23" s="50">
        <v>29192.454000000002</v>
      </c>
      <c r="D23" s="50" t="s">
        <v>62</v>
      </c>
      <c r="E23">
        <f t="shared" si="0"/>
        <v>-1854.9985160751298</v>
      </c>
      <c r="F23">
        <f t="shared" si="1"/>
        <v>-1855</v>
      </c>
      <c r="G23">
        <f t="shared" si="2"/>
        <v>4.1100000016740523E-3</v>
      </c>
      <c r="H23">
        <f t="shared" si="3"/>
        <v>4.1100000016740523E-3</v>
      </c>
      <c r="O23">
        <f t="shared" ca="1" si="4"/>
        <v>-4.4834152716530434E-2</v>
      </c>
      <c r="Q23" s="2">
        <f t="shared" si="5"/>
        <v>14173.954000000002</v>
      </c>
    </row>
    <row r="24" spans="1:21" ht="12.75" customHeight="1">
      <c r="A24" s="50" t="s">
        <v>80</v>
      </c>
      <c r="B24" s="51" t="s">
        <v>39</v>
      </c>
      <c r="C24" s="50">
        <v>29250.396000000001</v>
      </c>
      <c r="D24" s="50" t="s">
        <v>62</v>
      </c>
      <c r="E24">
        <f t="shared" si="0"/>
        <v>-1834.0784248877665</v>
      </c>
      <c r="F24">
        <f t="shared" si="1"/>
        <v>-1834</v>
      </c>
      <c r="G24">
        <f t="shared" si="2"/>
        <v>-0.21721199999956298</v>
      </c>
      <c r="H24">
        <f t="shared" si="3"/>
        <v>-0.21721199999956298</v>
      </c>
      <c r="O24">
        <f t="shared" ca="1" si="4"/>
        <v>-4.498804265948219E-2</v>
      </c>
      <c r="Q24" s="2">
        <f t="shared" si="5"/>
        <v>14231.896000000001</v>
      </c>
    </row>
    <row r="25" spans="1:21" ht="12.75" customHeight="1">
      <c r="A25" s="50" t="s">
        <v>80</v>
      </c>
      <c r="B25" s="51" t="s">
        <v>39</v>
      </c>
      <c r="C25" s="50">
        <v>29840.379000000001</v>
      </c>
      <c r="D25" s="50" t="s">
        <v>62</v>
      </c>
      <c r="E25">
        <f t="shared" si="0"/>
        <v>-1621.063717784207</v>
      </c>
      <c r="F25">
        <f t="shared" si="1"/>
        <v>-1621</v>
      </c>
      <c r="G25">
        <f t="shared" si="2"/>
        <v>-0.17647799999758718</v>
      </c>
      <c r="H25">
        <f t="shared" si="3"/>
        <v>-0.17647799999758718</v>
      </c>
      <c r="O25">
        <f t="shared" ca="1" si="4"/>
        <v>-4.6548926366564346E-2</v>
      </c>
      <c r="Q25" s="2">
        <f t="shared" si="5"/>
        <v>14821.879000000001</v>
      </c>
    </row>
    <row r="26" spans="1:21" ht="12.75" customHeight="1">
      <c r="A26" s="50" t="s">
        <v>72</v>
      </c>
      <c r="B26" s="51" t="s">
        <v>39</v>
      </c>
      <c r="C26" s="50">
        <v>29962.328000000001</v>
      </c>
      <c r="D26" s="50" t="s">
        <v>62</v>
      </c>
      <c r="E26">
        <f t="shared" si="0"/>
        <v>-1577.0337533334143</v>
      </c>
      <c r="F26">
        <f t="shared" si="1"/>
        <v>-1577</v>
      </c>
      <c r="G26">
        <f t="shared" si="2"/>
        <v>-9.3485999997938052E-2</v>
      </c>
      <c r="H26">
        <f t="shared" si="3"/>
        <v>-9.3485999997938052E-2</v>
      </c>
      <c r="O26">
        <f t="shared" ca="1" si="4"/>
        <v>-4.6871362437510888E-2</v>
      </c>
      <c r="Q26" s="2">
        <f t="shared" si="5"/>
        <v>14943.828000000001</v>
      </c>
    </row>
    <row r="27" spans="1:21" ht="12.75" customHeight="1">
      <c r="A27" s="50" t="s">
        <v>72</v>
      </c>
      <c r="B27" s="51" t="s">
        <v>39</v>
      </c>
      <c r="C27" s="50">
        <v>29962.359</v>
      </c>
      <c r="D27" s="50" t="s">
        <v>62</v>
      </c>
      <c r="E27">
        <f t="shared" si="0"/>
        <v>-1577.0225607127456</v>
      </c>
      <c r="F27">
        <f t="shared" si="1"/>
        <v>-1577</v>
      </c>
      <c r="G27">
        <f t="shared" si="2"/>
        <v>-6.2485999998898478E-2</v>
      </c>
      <c r="H27">
        <f t="shared" si="3"/>
        <v>-6.2485999998898478E-2</v>
      </c>
      <c r="O27">
        <f t="shared" ca="1" si="4"/>
        <v>-4.6871362437510888E-2</v>
      </c>
      <c r="Q27" s="2">
        <f t="shared" si="5"/>
        <v>14943.859</v>
      </c>
    </row>
    <row r="28" spans="1:21" ht="12.75" customHeight="1">
      <c r="A28" s="50" t="s">
        <v>80</v>
      </c>
      <c r="B28" s="51" t="s">
        <v>39</v>
      </c>
      <c r="C28" s="50">
        <v>30045.483</v>
      </c>
      <c r="D28" s="50" t="s">
        <v>62</v>
      </c>
      <c r="E28">
        <f t="shared" si="0"/>
        <v>-1547.0104510192864</v>
      </c>
      <c r="F28">
        <f t="shared" si="1"/>
        <v>-1547</v>
      </c>
      <c r="G28">
        <f t="shared" si="2"/>
        <v>-2.8945999998541083E-2</v>
      </c>
      <c r="H28">
        <f t="shared" si="3"/>
        <v>-2.8945999998541083E-2</v>
      </c>
      <c r="O28">
        <f t="shared" ca="1" si="4"/>
        <v>-4.7091205213156268E-2</v>
      </c>
      <c r="Q28" s="2">
        <f t="shared" si="5"/>
        <v>15026.983</v>
      </c>
    </row>
    <row r="29" spans="1:21" ht="12.75" customHeight="1">
      <c r="A29" s="50" t="s">
        <v>97</v>
      </c>
      <c r="B29" s="51" t="s">
        <v>39</v>
      </c>
      <c r="C29" s="50">
        <v>30261.527999999998</v>
      </c>
      <c r="D29" s="50" t="s">
        <v>62</v>
      </c>
      <c r="E29">
        <f t="shared" si="0"/>
        <v>-1469.0069112627373</v>
      </c>
      <c r="F29">
        <f t="shared" si="1"/>
        <v>-1469</v>
      </c>
      <c r="G29">
        <f t="shared" si="2"/>
        <v>-1.9142000001011183E-2</v>
      </c>
      <c r="I29">
        <f>+G29</f>
        <v>-1.9142000001011183E-2</v>
      </c>
      <c r="O29">
        <f t="shared" ca="1" si="4"/>
        <v>-4.7662796429834231E-2</v>
      </c>
      <c r="Q29" s="2">
        <f t="shared" si="5"/>
        <v>15243.027999999998</v>
      </c>
    </row>
    <row r="30" spans="1:21" ht="12.75" customHeight="1">
      <c r="A30" s="50" t="s">
        <v>97</v>
      </c>
      <c r="B30" s="51" t="s">
        <v>39</v>
      </c>
      <c r="C30" s="50">
        <v>30347.298999999999</v>
      </c>
      <c r="D30" s="50" t="s">
        <v>62</v>
      </c>
      <c r="E30">
        <f t="shared" si="0"/>
        <v>-1438.0390961850494</v>
      </c>
      <c r="F30">
        <f t="shared" si="1"/>
        <v>-1438</v>
      </c>
      <c r="G30">
        <f t="shared" si="2"/>
        <v>-0.10828400000173133</v>
      </c>
      <c r="I30">
        <f>+G30</f>
        <v>-0.10828400000173133</v>
      </c>
      <c r="O30">
        <f t="shared" ca="1" si="4"/>
        <v>-4.7889967298001122E-2</v>
      </c>
      <c r="Q30" s="2">
        <f t="shared" si="5"/>
        <v>15328.798999999999</v>
      </c>
    </row>
    <row r="31" spans="1:21" ht="12.75" customHeight="1">
      <c r="A31" s="50" t="s">
        <v>72</v>
      </c>
      <c r="B31" s="51" t="s">
        <v>39</v>
      </c>
      <c r="C31" s="50">
        <v>30674.344000000001</v>
      </c>
      <c r="D31" s="50" t="s">
        <v>62</v>
      </c>
      <c r="E31">
        <f t="shared" si="0"/>
        <v>-1319.9587533875724</v>
      </c>
      <c r="F31">
        <f t="shared" si="1"/>
        <v>-1320</v>
      </c>
      <c r="G31">
        <f t="shared" si="2"/>
        <v>0.11424000000261003</v>
      </c>
      <c r="H31">
        <f t="shared" ref="H31:H46" si="6">+G31</f>
        <v>0.11424000000261003</v>
      </c>
      <c r="O31">
        <f t="shared" ca="1" si="4"/>
        <v>-4.8754682215539594E-2</v>
      </c>
      <c r="Q31" s="2">
        <f t="shared" si="5"/>
        <v>15655.844000000001</v>
      </c>
    </row>
    <row r="32" spans="1:21" ht="12.75" customHeight="1">
      <c r="A32" s="50" t="s">
        <v>80</v>
      </c>
      <c r="B32" s="51" t="s">
        <v>39</v>
      </c>
      <c r="C32" s="50">
        <v>31192.238000000001</v>
      </c>
      <c r="D32" s="50" t="s">
        <v>62</v>
      </c>
      <c r="E32">
        <f t="shared" si="0"/>
        <v>-1132.9719440715569</v>
      </c>
      <c r="F32">
        <f t="shared" si="1"/>
        <v>-1133</v>
      </c>
      <c r="G32">
        <f t="shared" si="2"/>
        <v>7.7706000000034692E-2</v>
      </c>
      <c r="H32">
        <f t="shared" si="6"/>
        <v>7.7706000000034692E-2</v>
      </c>
      <c r="O32">
        <f t="shared" ca="1" si="4"/>
        <v>-5.0125035517062419E-2</v>
      </c>
      <c r="Q32" s="2">
        <f t="shared" si="5"/>
        <v>16173.738000000001</v>
      </c>
    </row>
    <row r="33" spans="1:17" ht="12.75" customHeight="1">
      <c r="A33" s="50" t="s">
        <v>80</v>
      </c>
      <c r="B33" s="51" t="s">
        <v>39</v>
      </c>
      <c r="C33" s="50">
        <v>31225.405999999999</v>
      </c>
      <c r="D33" s="50" t="s">
        <v>62</v>
      </c>
      <c r="E33">
        <f t="shared" si="0"/>
        <v>-1120.9965620601931</v>
      </c>
      <c r="F33">
        <f t="shared" si="1"/>
        <v>-1121</v>
      </c>
      <c r="G33">
        <f t="shared" si="2"/>
        <v>9.5220000002882443E-3</v>
      </c>
      <c r="H33">
        <f t="shared" si="6"/>
        <v>9.5220000002882443E-3</v>
      </c>
      <c r="O33">
        <f t="shared" ca="1" si="4"/>
        <v>-5.0212972627320565E-2</v>
      </c>
      <c r="Q33" s="2">
        <f t="shared" si="5"/>
        <v>16206.905999999999</v>
      </c>
    </row>
    <row r="34" spans="1:17" ht="12.75" customHeight="1">
      <c r="A34" s="50" t="s">
        <v>80</v>
      </c>
      <c r="B34" s="51" t="s">
        <v>39</v>
      </c>
      <c r="C34" s="50">
        <v>31430.159</v>
      </c>
      <c r="D34" s="50" t="s">
        <v>62</v>
      </c>
      <c r="E34">
        <f t="shared" si="0"/>
        <v>-1047.0700246454285</v>
      </c>
      <c r="F34">
        <f t="shared" si="1"/>
        <v>-1047</v>
      </c>
      <c r="G34">
        <f t="shared" si="2"/>
        <v>-0.1939459999994142</v>
      </c>
      <c r="H34">
        <f t="shared" si="6"/>
        <v>-0.1939459999994142</v>
      </c>
      <c r="O34">
        <f t="shared" ca="1" si="4"/>
        <v>-5.0755251473912487E-2</v>
      </c>
      <c r="Q34" s="2">
        <f t="shared" si="5"/>
        <v>16411.659</v>
      </c>
    </row>
    <row r="35" spans="1:17" ht="12.75" customHeight="1">
      <c r="A35" s="50" t="s">
        <v>80</v>
      </c>
      <c r="B35" s="51" t="s">
        <v>39</v>
      </c>
      <c r="C35" s="50">
        <v>31801.37</v>
      </c>
      <c r="D35" s="50" t="s">
        <v>62</v>
      </c>
      <c r="E35">
        <f t="shared" si="0"/>
        <v>-913.04344686501918</v>
      </c>
      <c r="F35">
        <f t="shared" si="1"/>
        <v>-913</v>
      </c>
      <c r="G35">
        <f t="shared" si="2"/>
        <v>-0.12033399999927497</v>
      </c>
      <c r="H35">
        <f t="shared" si="6"/>
        <v>-0.12033399999927497</v>
      </c>
      <c r="O35">
        <f t="shared" ca="1" si="4"/>
        <v>-5.1737215871795153E-2</v>
      </c>
      <c r="Q35" s="2">
        <f t="shared" si="5"/>
        <v>16782.87</v>
      </c>
    </row>
    <row r="36" spans="1:17" ht="12.75" customHeight="1">
      <c r="A36" s="50" t="s">
        <v>80</v>
      </c>
      <c r="B36" s="51" t="s">
        <v>39</v>
      </c>
      <c r="C36" s="50">
        <v>31801.425999999999</v>
      </c>
      <c r="D36" s="50" t="s">
        <v>62</v>
      </c>
      <c r="E36">
        <f t="shared" si="0"/>
        <v>-913.0232279373588</v>
      </c>
      <c r="F36">
        <f t="shared" si="1"/>
        <v>-913</v>
      </c>
      <c r="G36">
        <f t="shared" si="2"/>
        <v>-6.43339999987802E-2</v>
      </c>
      <c r="H36">
        <f t="shared" si="6"/>
        <v>-6.43339999987802E-2</v>
      </c>
      <c r="O36">
        <f t="shared" ca="1" si="4"/>
        <v>-5.1737215871795153E-2</v>
      </c>
      <c r="Q36" s="2">
        <f t="shared" si="5"/>
        <v>16782.925999999999</v>
      </c>
    </row>
    <row r="37" spans="1:17" ht="12.75" customHeight="1">
      <c r="A37" s="50" t="s">
        <v>80</v>
      </c>
      <c r="B37" s="51" t="s">
        <v>39</v>
      </c>
      <c r="C37" s="50">
        <v>31815.248</v>
      </c>
      <c r="D37" s="50" t="s">
        <v>62</v>
      </c>
      <c r="E37">
        <f t="shared" si="0"/>
        <v>-908.03276332806422</v>
      </c>
      <c r="F37">
        <f t="shared" si="1"/>
        <v>-908</v>
      </c>
      <c r="G37">
        <f t="shared" si="2"/>
        <v>-9.0744000000995584E-2</v>
      </c>
      <c r="H37">
        <f t="shared" si="6"/>
        <v>-9.0744000000995584E-2</v>
      </c>
      <c r="O37">
        <f t="shared" ca="1" si="4"/>
        <v>-5.1773856334402721E-2</v>
      </c>
      <c r="Q37" s="2">
        <f t="shared" si="5"/>
        <v>16796.748</v>
      </c>
    </row>
    <row r="38" spans="1:17" ht="12.75" customHeight="1">
      <c r="A38" s="50" t="s">
        <v>80</v>
      </c>
      <c r="B38" s="51" t="s">
        <v>39</v>
      </c>
      <c r="C38" s="50">
        <v>32178.263999999999</v>
      </c>
      <c r="D38" s="50" t="s">
        <v>62</v>
      </c>
      <c r="E38">
        <f t="shared" si="0"/>
        <v>-776.96500897937017</v>
      </c>
      <c r="F38">
        <f t="shared" si="1"/>
        <v>-777</v>
      </c>
      <c r="G38">
        <f t="shared" si="2"/>
        <v>9.6914000001561362E-2</v>
      </c>
      <c r="H38">
        <f t="shared" si="6"/>
        <v>9.6914000001561362E-2</v>
      </c>
      <c r="O38">
        <f t="shared" ca="1" si="4"/>
        <v>-5.273383645472085E-2</v>
      </c>
      <c r="Q38" s="2">
        <f t="shared" si="5"/>
        <v>17159.763999999999</v>
      </c>
    </row>
    <row r="39" spans="1:17" ht="12.75" customHeight="1">
      <c r="A39" s="50" t="s">
        <v>80</v>
      </c>
      <c r="B39" s="51" t="s">
        <v>39</v>
      </c>
      <c r="C39" s="50">
        <v>32405.307000000001</v>
      </c>
      <c r="D39" s="50" t="s">
        <v>62</v>
      </c>
      <c r="E39">
        <f t="shared" si="0"/>
        <v>-694.99061625125137</v>
      </c>
      <c r="F39">
        <f t="shared" si="1"/>
        <v>-695</v>
      </c>
      <c r="G39">
        <f t="shared" si="2"/>
        <v>2.599000000191154E-2</v>
      </c>
      <c r="H39">
        <f t="shared" si="6"/>
        <v>2.599000000191154E-2</v>
      </c>
      <c r="O39">
        <f t="shared" ca="1" si="4"/>
        <v>-5.333474004148487E-2</v>
      </c>
      <c r="Q39" s="2">
        <f t="shared" si="5"/>
        <v>17386.807000000001</v>
      </c>
    </row>
    <row r="40" spans="1:17" ht="12.75" customHeight="1">
      <c r="A40" s="50" t="s">
        <v>80</v>
      </c>
      <c r="B40" s="51" t="s">
        <v>39</v>
      </c>
      <c r="C40" s="50">
        <v>32981.315000000002</v>
      </c>
      <c r="D40" s="50" t="s">
        <v>62</v>
      </c>
      <c r="E40">
        <f t="shared" si="0"/>
        <v>-487.02161475577225</v>
      </c>
      <c r="F40">
        <f t="shared" si="1"/>
        <v>-487</v>
      </c>
      <c r="G40">
        <f t="shared" si="2"/>
        <v>-5.9865999995963648E-2</v>
      </c>
      <c r="H40">
        <f t="shared" si="6"/>
        <v>-5.9865999995963648E-2</v>
      </c>
      <c r="O40">
        <f t="shared" ca="1" si="4"/>
        <v>-5.4858983285959458E-2</v>
      </c>
      <c r="Q40" s="2">
        <f t="shared" si="5"/>
        <v>17962.815000000002</v>
      </c>
    </row>
    <row r="41" spans="1:17" ht="12.75" customHeight="1">
      <c r="A41" s="50" t="s">
        <v>80</v>
      </c>
      <c r="B41" s="51" t="s">
        <v>39</v>
      </c>
      <c r="C41" s="50">
        <v>32981.35</v>
      </c>
      <c r="D41" s="50" t="s">
        <v>62</v>
      </c>
      <c r="E41">
        <f t="shared" si="0"/>
        <v>-487.00897792598596</v>
      </c>
      <c r="F41">
        <f t="shared" si="1"/>
        <v>-487</v>
      </c>
      <c r="G41">
        <f t="shared" si="2"/>
        <v>-2.4865999999747146E-2</v>
      </c>
      <c r="H41">
        <f t="shared" si="6"/>
        <v>-2.4865999999747146E-2</v>
      </c>
      <c r="O41">
        <f t="shared" ca="1" si="4"/>
        <v>-5.4858983285959458E-2</v>
      </c>
      <c r="Q41" s="2">
        <f t="shared" si="5"/>
        <v>17962.849999999999</v>
      </c>
    </row>
    <row r="42" spans="1:17" ht="12.75" customHeight="1">
      <c r="A42" s="50" t="s">
        <v>80</v>
      </c>
      <c r="B42" s="51" t="s">
        <v>39</v>
      </c>
      <c r="C42" s="50">
        <v>32981.375</v>
      </c>
      <c r="D42" s="50" t="s">
        <v>62</v>
      </c>
      <c r="E42">
        <f t="shared" si="0"/>
        <v>-486.9999516189942</v>
      </c>
      <c r="F42">
        <f t="shared" si="1"/>
        <v>-487</v>
      </c>
      <c r="G42">
        <f t="shared" si="2"/>
        <v>1.340000017080456E-4</v>
      </c>
      <c r="H42">
        <f t="shared" si="6"/>
        <v>1.340000017080456E-4</v>
      </c>
      <c r="O42">
        <f t="shared" ca="1" si="4"/>
        <v>-5.4858983285959458E-2</v>
      </c>
      <c r="Q42" s="2">
        <f t="shared" si="5"/>
        <v>17962.875</v>
      </c>
    </row>
    <row r="43" spans="1:17" ht="12.75" customHeight="1">
      <c r="A43" s="50" t="s">
        <v>80</v>
      </c>
      <c r="B43" s="51" t="s">
        <v>39</v>
      </c>
      <c r="C43" s="50">
        <v>33003.351999999999</v>
      </c>
      <c r="D43" s="50" t="s">
        <v>62</v>
      </c>
      <c r="E43">
        <f t="shared" si="0"/>
        <v>-479.06510566917075</v>
      </c>
      <c r="F43">
        <f t="shared" si="1"/>
        <v>-479</v>
      </c>
      <c r="G43">
        <f t="shared" si="2"/>
        <v>-0.18032200000016019</v>
      </c>
      <c r="H43">
        <f t="shared" si="6"/>
        <v>-0.18032200000016019</v>
      </c>
      <c r="O43">
        <f t="shared" ca="1" si="4"/>
        <v>-5.4917608026131555E-2</v>
      </c>
      <c r="Q43" s="2">
        <f t="shared" si="5"/>
        <v>17984.851999999999</v>
      </c>
    </row>
    <row r="44" spans="1:17" ht="12.75" customHeight="1">
      <c r="A44" s="50" t="s">
        <v>72</v>
      </c>
      <c r="B44" s="51" t="s">
        <v>39</v>
      </c>
      <c r="C44" s="50">
        <v>33175.275000000001</v>
      </c>
      <c r="D44" s="50" t="s">
        <v>62</v>
      </c>
      <c r="E44">
        <f t="shared" si="0"/>
        <v>-416.99191459524872</v>
      </c>
      <c r="F44">
        <f t="shared" si="1"/>
        <v>-417</v>
      </c>
      <c r="G44">
        <f t="shared" si="2"/>
        <v>2.2393999999621883E-2</v>
      </c>
      <c r="H44">
        <f t="shared" si="6"/>
        <v>2.2393999999621883E-2</v>
      </c>
      <c r="O44">
        <f t="shared" ca="1" si="4"/>
        <v>-5.5371949762465331E-2</v>
      </c>
      <c r="Q44" s="2">
        <f t="shared" si="5"/>
        <v>18156.775000000001</v>
      </c>
    </row>
    <row r="45" spans="1:17" ht="12.75" customHeight="1">
      <c r="A45" s="50" t="s">
        <v>80</v>
      </c>
      <c r="B45" s="51" t="s">
        <v>39</v>
      </c>
      <c r="C45" s="50">
        <v>33355.396000000001</v>
      </c>
      <c r="D45" s="50" t="s">
        <v>62</v>
      </c>
      <c r="E45">
        <f t="shared" si="0"/>
        <v>-351.95881693277369</v>
      </c>
      <c r="F45">
        <f t="shared" si="1"/>
        <v>-352</v>
      </c>
      <c r="G45">
        <f t="shared" si="2"/>
        <v>0.1140640000012354</v>
      </c>
      <c r="H45">
        <f t="shared" si="6"/>
        <v>0.1140640000012354</v>
      </c>
      <c r="O45">
        <f t="shared" ca="1" si="4"/>
        <v>-5.5848275776363636E-2</v>
      </c>
      <c r="Q45" s="2">
        <f t="shared" si="5"/>
        <v>18336.896000000001</v>
      </c>
    </row>
    <row r="46" spans="1:17" ht="12.75" customHeight="1">
      <c r="A46" s="50" t="s">
        <v>80</v>
      </c>
      <c r="B46" s="51" t="s">
        <v>39</v>
      </c>
      <c r="C46" s="50">
        <v>33499.32</v>
      </c>
      <c r="D46" s="50" t="s">
        <v>62</v>
      </c>
      <c r="E46">
        <f t="shared" si="0"/>
        <v>-299.99472863671696</v>
      </c>
      <c r="F46">
        <f t="shared" si="1"/>
        <v>-300</v>
      </c>
      <c r="G46">
        <f t="shared" si="2"/>
        <v>1.4600000002246816E-2</v>
      </c>
      <c r="H46">
        <f t="shared" si="6"/>
        <v>1.4600000002246816E-2</v>
      </c>
      <c r="O46">
        <f t="shared" ca="1" si="4"/>
        <v>-5.6229336587482283E-2</v>
      </c>
      <c r="Q46" s="2">
        <f t="shared" si="5"/>
        <v>18480.82</v>
      </c>
    </row>
    <row r="47" spans="1:17" ht="12.75" customHeight="1">
      <c r="A47" s="50" t="s">
        <v>151</v>
      </c>
      <c r="B47" s="51" t="s">
        <v>39</v>
      </c>
      <c r="C47" s="50">
        <v>33543.487999999998</v>
      </c>
      <c r="D47" s="50" t="s">
        <v>62</v>
      </c>
      <c r="E47">
        <f t="shared" si="0"/>
        <v>-284.04777154922533</v>
      </c>
      <c r="F47">
        <f t="shared" si="1"/>
        <v>-284</v>
      </c>
      <c r="G47">
        <f t="shared" si="2"/>
        <v>-0.13231200000154786</v>
      </c>
      <c r="I47">
        <f t="shared" ref="I47:I52" si="7">+G47</f>
        <v>-0.13231200000154786</v>
      </c>
      <c r="O47">
        <f t="shared" ca="1" si="4"/>
        <v>-5.6346586067826485E-2</v>
      </c>
      <c r="Q47" s="2">
        <f t="shared" si="5"/>
        <v>18524.987999999998</v>
      </c>
    </row>
    <row r="48" spans="1:17" ht="12.75" customHeight="1">
      <c r="A48" s="50" t="s">
        <v>151</v>
      </c>
      <c r="B48" s="51" t="s">
        <v>39</v>
      </c>
      <c r="C48" s="50">
        <v>33543.527999999998</v>
      </c>
      <c r="D48" s="50" t="s">
        <v>62</v>
      </c>
      <c r="E48">
        <f t="shared" si="0"/>
        <v>-284.03332945803913</v>
      </c>
      <c r="F48">
        <f t="shared" si="1"/>
        <v>-284</v>
      </c>
      <c r="G48">
        <f t="shared" si="2"/>
        <v>-9.2312000000674743E-2</v>
      </c>
      <c r="I48">
        <f t="shared" si="7"/>
        <v>-9.2312000000674743E-2</v>
      </c>
      <c r="O48">
        <f t="shared" ca="1" si="4"/>
        <v>-5.6346586067826485E-2</v>
      </c>
      <c r="Q48" s="2">
        <f t="shared" si="5"/>
        <v>18525.027999999998</v>
      </c>
    </row>
    <row r="49" spans="1:32" ht="12.75" customHeight="1">
      <c r="A49" s="50" t="s">
        <v>151</v>
      </c>
      <c r="B49" s="51" t="s">
        <v>39</v>
      </c>
      <c r="C49" s="50">
        <v>33546.258999999998</v>
      </c>
      <c r="D49" s="50" t="s">
        <v>62</v>
      </c>
      <c r="E49">
        <f t="shared" si="0"/>
        <v>-283.04729568232057</v>
      </c>
      <c r="F49">
        <f t="shared" si="1"/>
        <v>-283</v>
      </c>
      <c r="G49">
        <f t="shared" si="2"/>
        <v>-0.13099399999919115</v>
      </c>
      <c r="I49">
        <f t="shared" si="7"/>
        <v>-0.13099399999919115</v>
      </c>
      <c r="O49">
        <f t="shared" ca="1" si="4"/>
        <v>-5.6353914160347997E-2</v>
      </c>
      <c r="Q49" s="2">
        <f t="shared" si="5"/>
        <v>18527.758999999998</v>
      </c>
    </row>
    <row r="50" spans="1:32" ht="12.75" customHeight="1">
      <c r="A50" s="50" t="s">
        <v>151</v>
      </c>
      <c r="B50" s="51" t="s">
        <v>39</v>
      </c>
      <c r="C50" s="50">
        <v>33546.347999999998</v>
      </c>
      <c r="D50" s="50" t="s">
        <v>62</v>
      </c>
      <c r="E50">
        <f t="shared" si="0"/>
        <v>-283.01516202943191</v>
      </c>
      <c r="F50">
        <f t="shared" si="1"/>
        <v>-283</v>
      </c>
      <c r="G50">
        <f t="shared" si="2"/>
        <v>-4.1993999999249354E-2</v>
      </c>
      <c r="I50">
        <f t="shared" si="7"/>
        <v>-4.1993999999249354E-2</v>
      </c>
      <c r="O50">
        <f t="shared" ca="1" si="4"/>
        <v>-5.6353914160347997E-2</v>
      </c>
      <c r="Q50" s="2">
        <f t="shared" si="5"/>
        <v>18527.847999999998</v>
      </c>
    </row>
    <row r="51" spans="1:32" ht="12.75" customHeight="1">
      <c r="A51" s="50" t="s">
        <v>151</v>
      </c>
      <c r="B51" s="51" t="s">
        <v>39</v>
      </c>
      <c r="C51" s="50">
        <v>33546.391000000003</v>
      </c>
      <c r="D51" s="50" t="s">
        <v>62</v>
      </c>
      <c r="E51">
        <f t="shared" si="0"/>
        <v>-282.99963678140517</v>
      </c>
      <c r="F51">
        <f t="shared" si="1"/>
        <v>-283</v>
      </c>
      <c r="G51">
        <f t="shared" si="2"/>
        <v>1.0060000058729202E-3</v>
      </c>
      <c r="I51">
        <f t="shared" si="7"/>
        <v>1.0060000058729202E-3</v>
      </c>
      <c r="O51">
        <f t="shared" ca="1" si="4"/>
        <v>-5.6353914160347997E-2</v>
      </c>
      <c r="Q51" s="2">
        <f t="shared" si="5"/>
        <v>18527.891000000003</v>
      </c>
    </row>
    <row r="52" spans="1:32" ht="12.75" customHeight="1">
      <c r="A52" s="50" t="s">
        <v>151</v>
      </c>
      <c r="B52" s="51" t="s">
        <v>39</v>
      </c>
      <c r="C52" s="50">
        <v>33568.366999999998</v>
      </c>
      <c r="D52" s="50" t="s">
        <v>62</v>
      </c>
      <c r="E52">
        <f t="shared" si="0"/>
        <v>-275.06515188386277</v>
      </c>
      <c r="F52">
        <f t="shared" si="1"/>
        <v>-275</v>
      </c>
      <c r="G52">
        <f t="shared" si="2"/>
        <v>-0.18044999999983702</v>
      </c>
      <c r="I52">
        <f t="shared" si="7"/>
        <v>-0.18044999999983702</v>
      </c>
      <c r="O52">
        <f t="shared" ca="1" si="4"/>
        <v>-5.6412538900520094E-2</v>
      </c>
      <c r="Q52" s="2">
        <f t="shared" si="5"/>
        <v>18549.866999999998</v>
      </c>
    </row>
    <row r="53" spans="1:32" ht="12.75" customHeight="1">
      <c r="A53" s="50" t="s">
        <v>72</v>
      </c>
      <c r="B53" s="51" t="s">
        <v>39</v>
      </c>
      <c r="C53" s="50">
        <v>33892.421000000002</v>
      </c>
      <c r="D53" s="50" t="s">
        <v>62</v>
      </c>
      <c r="E53">
        <f t="shared" ref="E53:E87" si="8">+(C53-C$7)/C$8</f>
        <v>-158.06471645481216</v>
      </c>
      <c r="F53">
        <f t="shared" ref="F53:F84" si="9">ROUND(2*E53,0)/2</f>
        <v>-158</v>
      </c>
      <c r="G53">
        <f t="shared" si="2"/>
        <v>-0.17924399999901652</v>
      </c>
      <c r="H53">
        <f>+G53</f>
        <v>-0.17924399999901652</v>
      </c>
      <c r="O53">
        <f t="shared" ref="O53:O87" ca="1" si="10">+C$11+C$12*F53</f>
        <v>-5.7269925725537053E-2</v>
      </c>
      <c r="Q53" s="2">
        <f t="shared" ref="Q53:Q87" si="11">+C53-15018.5</f>
        <v>18873.921000000002</v>
      </c>
    </row>
    <row r="54" spans="1:32" ht="12.75" customHeight="1">
      <c r="A54" s="50" t="s">
        <v>151</v>
      </c>
      <c r="B54" s="51" t="s">
        <v>39</v>
      </c>
      <c r="C54" s="50">
        <v>33892.455000000002</v>
      </c>
      <c r="D54" s="50" t="s">
        <v>62</v>
      </c>
      <c r="E54">
        <f t="shared" si="8"/>
        <v>-158.05244067730425</v>
      </c>
      <c r="F54">
        <f t="shared" si="9"/>
        <v>-158</v>
      </c>
      <c r="G54">
        <f t="shared" si="2"/>
        <v>-0.14524399999936577</v>
      </c>
      <c r="I54">
        <f>+G54</f>
        <v>-0.14524399999936577</v>
      </c>
      <c r="O54">
        <f t="shared" ca="1" si="10"/>
        <v>-5.7269925725537053E-2</v>
      </c>
      <c r="Q54" s="2">
        <f t="shared" si="11"/>
        <v>18873.955000000002</v>
      </c>
    </row>
    <row r="55" spans="1:32" ht="12.75" customHeight="1">
      <c r="A55" s="50" t="s">
        <v>72</v>
      </c>
      <c r="B55" s="51" t="s">
        <v>39</v>
      </c>
      <c r="C55" s="50">
        <v>33895.373</v>
      </c>
      <c r="D55" s="50" t="s">
        <v>62</v>
      </c>
      <c r="E55">
        <f t="shared" si="8"/>
        <v>-156.99889012529221</v>
      </c>
      <c r="F55">
        <f t="shared" si="9"/>
        <v>-157</v>
      </c>
      <c r="G55">
        <f t="shared" si="2"/>
        <v>3.0740000001969747E-3</v>
      </c>
      <c r="H55">
        <f t="shared" ref="H55:H62" si="12">+G55</f>
        <v>3.0740000001969747E-3</v>
      </c>
      <c r="O55">
        <f t="shared" ca="1" si="10"/>
        <v>-5.7277253818058566E-2</v>
      </c>
      <c r="Q55" s="2">
        <f t="shared" si="11"/>
        <v>18876.873</v>
      </c>
    </row>
    <row r="56" spans="1:32" ht="12.75" customHeight="1">
      <c r="A56" t="s">
        <v>12</v>
      </c>
      <c r="C56" s="10">
        <v>34330.21</v>
      </c>
      <c r="D56" s="10" t="s">
        <v>14</v>
      </c>
      <c r="E56">
        <f t="shared" si="8"/>
        <v>0</v>
      </c>
      <c r="F56">
        <f t="shared" si="9"/>
        <v>0</v>
      </c>
      <c r="G56">
        <f t="shared" si="2"/>
        <v>0</v>
      </c>
      <c r="H56">
        <f t="shared" si="12"/>
        <v>0</v>
      </c>
      <c r="O56">
        <f t="shared" ca="1" si="10"/>
        <v>-5.8427764343936019E-2</v>
      </c>
      <c r="Q56" s="2">
        <f t="shared" si="11"/>
        <v>19311.71</v>
      </c>
    </row>
    <row r="57" spans="1:32" ht="12.75" customHeight="1">
      <c r="A57" s="50" t="s">
        <v>72</v>
      </c>
      <c r="B57" s="51" t="s">
        <v>39</v>
      </c>
      <c r="C57" s="50">
        <v>34330.211000000003</v>
      </c>
      <c r="D57" s="50" t="s">
        <v>62</v>
      </c>
      <c r="E57">
        <f t="shared" si="8"/>
        <v>3.6105228103504506E-4</v>
      </c>
      <c r="F57">
        <f t="shared" si="9"/>
        <v>0</v>
      </c>
      <c r="G57">
        <f t="shared" si="2"/>
        <v>1.0000000038417056E-3</v>
      </c>
      <c r="H57">
        <f t="shared" si="12"/>
        <v>1.0000000038417056E-3</v>
      </c>
      <c r="O57">
        <f t="shared" ca="1" si="10"/>
        <v>-5.8427764343936019E-2</v>
      </c>
      <c r="Q57" s="2">
        <f t="shared" si="11"/>
        <v>19311.711000000003</v>
      </c>
    </row>
    <row r="58" spans="1:32" ht="12.75" customHeight="1">
      <c r="A58" s="50" t="s">
        <v>68</v>
      </c>
      <c r="B58" s="51" t="s">
        <v>39</v>
      </c>
      <c r="C58" s="50">
        <v>34330.25</v>
      </c>
      <c r="D58" s="50" t="s">
        <v>62</v>
      </c>
      <c r="E58">
        <f t="shared" si="8"/>
        <v>1.4442091186234778E-2</v>
      </c>
      <c r="F58">
        <f t="shared" si="9"/>
        <v>0</v>
      </c>
      <c r="G58">
        <f t="shared" si="2"/>
        <v>4.0000000000873115E-2</v>
      </c>
      <c r="H58">
        <f t="shared" si="12"/>
        <v>4.0000000000873115E-2</v>
      </c>
      <c r="O58">
        <f t="shared" ca="1" si="10"/>
        <v>-5.8427764343936019E-2</v>
      </c>
      <c r="Q58" s="2">
        <f t="shared" si="11"/>
        <v>19311.75</v>
      </c>
    </row>
    <row r="59" spans="1:32" ht="12.75" customHeight="1">
      <c r="A59" s="50" t="s">
        <v>68</v>
      </c>
      <c r="B59" s="51" t="s">
        <v>39</v>
      </c>
      <c r="C59" s="50">
        <v>34330.279000000002</v>
      </c>
      <c r="D59" s="50" t="s">
        <v>62</v>
      </c>
      <c r="E59">
        <f t="shared" si="8"/>
        <v>2.4912607296846068E-2</v>
      </c>
      <c r="F59">
        <f t="shared" si="9"/>
        <v>0</v>
      </c>
      <c r="G59">
        <f t="shared" si="2"/>
        <v>6.9000000003143214E-2</v>
      </c>
      <c r="H59">
        <f t="shared" si="12"/>
        <v>6.9000000003143214E-2</v>
      </c>
      <c r="O59">
        <f t="shared" ca="1" si="10"/>
        <v>-5.8427764343936019E-2</v>
      </c>
      <c r="Q59" s="2">
        <f t="shared" si="11"/>
        <v>19311.779000000002</v>
      </c>
    </row>
    <row r="60" spans="1:32" ht="12.75" customHeight="1">
      <c r="A60" s="50" t="s">
        <v>68</v>
      </c>
      <c r="B60" s="51" t="s">
        <v>39</v>
      </c>
      <c r="C60" s="50">
        <v>34330.326000000001</v>
      </c>
      <c r="D60" s="50" t="s">
        <v>62</v>
      </c>
      <c r="E60">
        <f t="shared" si="8"/>
        <v>4.1882064439818158E-2</v>
      </c>
      <c r="F60">
        <f t="shared" si="9"/>
        <v>0</v>
      </c>
      <c r="G60">
        <f t="shared" si="2"/>
        <v>0.11600000000180444</v>
      </c>
      <c r="H60">
        <f t="shared" si="12"/>
        <v>0.11600000000180444</v>
      </c>
      <c r="O60">
        <f t="shared" ca="1" si="10"/>
        <v>-5.8427764343936019E-2</v>
      </c>
      <c r="Q60" s="2">
        <f t="shared" si="11"/>
        <v>19311.826000000001</v>
      </c>
    </row>
    <row r="61" spans="1:32" ht="12.75" customHeight="1">
      <c r="A61" s="50" t="s">
        <v>72</v>
      </c>
      <c r="B61" s="51" t="s">
        <v>39</v>
      </c>
      <c r="C61" s="50">
        <v>34457.447999999997</v>
      </c>
      <c r="D61" s="50" t="s">
        <v>62</v>
      </c>
      <c r="E61">
        <f t="shared" si="8"/>
        <v>45.939569957849876</v>
      </c>
      <c r="F61">
        <f t="shared" si="9"/>
        <v>46</v>
      </c>
      <c r="G61">
        <f t="shared" si="2"/>
        <v>-0.16737200000352459</v>
      </c>
      <c r="H61">
        <f t="shared" si="12"/>
        <v>-0.16737200000352459</v>
      </c>
      <c r="O61">
        <f t="shared" ca="1" si="10"/>
        <v>-5.8764856599925593E-2</v>
      </c>
      <c r="Q61" s="2">
        <f t="shared" si="11"/>
        <v>19438.947999999997</v>
      </c>
    </row>
    <row r="62" spans="1:32" ht="12.75" customHeight="1">
      <c r="A62" s="50" t="s">
        <v>72</v>
      </c>
      <c r="B62" s="51" t="s">
        <v>39</v>
      </c>
      <c r="C62" s="50">
        <v>34457.478000000003</v>
      </c>
      <c r="D62" s="50" t="s">
        <v>62</v>
      </c>
      <c r="E62">
        <f t="shared" si="8"/>
        <v>45.950401526241521</v>
      </c>
      <c r="F62">
        <f t="shared" si="9"/>
        <v>46</v>
      </c>
      <c r="G62">
        <f t="shared" si="2"/>
        <v>-0.13737199999741279</v>
      </c>
      <c r="H62">
        <f t="shared" si="12"/>
        <v>-0.13737199999741279</v>
      </c>
      <c r="O62">
        <f t="shared" ca="1" si="10"/>
        <v>-5.8764856599925593E-2</v>
      </c>
      <c r="Q62" s="2">
        <f t="shared" si="11"/>
        <v>19438.978000000003</v>
      </c>
    </row>
    <row r="63" spans="1:32" ht="12.75" customHeight="1">
      <c r="A63" t="s">
        <v>29</v>
      </c>
      <c r="C63" s="11">
        <v>44489.362000000001</v>
      </c>
      <c r="D63" s="10"/>
      <c r="E63">
        <f t="shared" si="8"/>
        <v>3667.9849888904218</v>
      </c>
      <c r="F63">
        <f t="shared" si="9"/>
        <v>3668</v>
      </c>
      <c r="G63">
        <f t="shared" si="2"/>
        <v>-4.1575999995984603E-2</v>
      </c>
      <c r="I63">
        <f>+G63</f>
        <v>-4.1575999995984603E-2</v>
      </c>
      <c r="O63">
        <f t="shared" ca="1" si="10"/>
        <v>-8.5307207712843669E-2</v>
      </c>
      <c r="Q63" s="2">
        <f t="shared" si="11"/>
        <v>29470.862000000001</v>
      </c>
      <c r="AA63">
        <v>7</v>
      </c>
      <c r="AC63" t="s">
        <v>28</v>
      </c>
      <c r="AF63" t="s">
        <v>30</v>
      </c>
    </row>
    <row r="64" spans="1:32" ht="12.75" customHeight="1">
      <c r="A64" t="s">
        <v>32</v>
      </c>
      <c r="C64" s="11">
        <v>45043.292000000001</v>
      </c>
      <c r="D64" s="10"/>
      <c r="E64">
        <f t="shared" si="8"/>
        <v>3867.9826781558322</v>
      </c>
      <c r="F64">
        <f t="shared" si="9"/>
        <v>3868</v>
      </c>
      <c r="G64">
        <f t="shared" si="2"/>
        <v>-4.7976000001654029E-2</v>
      </c>
      <c r="I64">
        <f>+G64</f>
        <v>-4.7976000001654029E-2</v>
      </c>
      <c r="O64">
        <f t="shared" ca="1" si="10"/>
        <v>-8.677282621714616E-2</v>
      </c>
      <c r="Q64" s="2">
        <f t="shared" si="11"/>
        <v>30024.792000000001</v>
      </c>
      <c r="AA64">
        <v>6</v>
      </c>
      <c r="AC64" t="s">
        <v>31</v>
      </c>
      <c r="AF64" t="s">
        <v>30</v>
      </c>
    </row>
    <row r="65" spans="1:32" ht="12.75" customHeight="1">
      <c r="A65" s="50" t="s">
        <v>206</v>
      </c>
      <c r="B65" s="51" t="s">
        <v>39</v>
      </c>
      <c r="C65" s="50">
        <v>45189.381999999998</v>
      </c>
      <c r="D65" s="50" t="s">
        <v>62</v>
      </c>
      <c r="E65">
        <f t="shared" si="8"/>
        <v>3920.7288056896059</v>
      </c>
      <c r="F65">
        <f t="shared" si="9"/>
        <v>3920.5</v>
      </c>
      <c r="O65">
        <f t="shared" ca="1" si="10"/>
        <v>-8.7157551074525566E-2</v>
      </c>
      <c r="Q65" s="2">
        <f t="shared" si="11"/>
        <v>30170.881999999998</v>
      </c>
      <c r="U65">
        <f>+C65-(C$7+F65*C$8)</f>
        <v>0.63371899999765446</v>
      </c>
    </row>
    <row r="66" spans="1:32" ht="12.75" customHeight="1">
      <c r="A66" t="s">
        <v>33</v>
      </c>
      <c r="C66" s="11">
        <v>45198.381999999998</v>
      </c>
      <c r="D66" s="10"/>
      <c r="E66">
        <f t="shared" si="8"/>
        <v>3923.9782762064378</v>
      </c>
      <c r="F66">
        <f t="shared" si="9"/>
        <v>3924</v>
      </c>
      <c r="G66">
        <f t="shared" ref="G66:G87" si="13">+C66-(C$7+F66*C$8)</f>
        <v>-6.0168000003613997E-2</v>
      </c>
      <c r="I66">
        <f t="shared" ref="I66:I71" si="14">+G66</f>
        <v>-6.0168000003613997E-2</v>
      </c>
      <c r="O66">
        <f t="shared" ca="1" si="10"/>
        <v>-8.7183199398350855E-2</v>
      </c>
      <c r="Q66" s="2">
        <f t="shared" si="11"/>
        <v>30179.881999999998</v>
      </c>
      <c r="AA66">
        <v>6</v>
      </c>
      <c r="AC66" t="s">
        <v>31</v>
      </c>
      <c r="AF66" t="s">
        <v>30</v>
      </c>
    </row>
    <row r="67" spans="1:32" ht="12.75" customHeight="1">
      <c r="A67" t="s">
        <v>34</v>
      </c>
      <c r="C67" s="11">
        <v>45644.275999999998</v>
      </c>
      <c r="D67" s="10"/>
      <c r="E67">
        <f t="shared" si="8"/>
        <v>4084.9693213877981</v>
      </c>
      <c r="F67">
        <f t="shared" si="9"/>
        <v>4085</v>
      </c>
      <c r="G67">
        <f t="shared" si="13"/>
        <v>-8.4970000003522728E-2</v>
      </c>
      <c r="I67">
        <f t="shared" si="14"/>
        <v>-8.4970000003522728E-2</v>
      </c>
      <c r="O67">
        <f t="shared" ca="1" si="10"/>
        <v>-8.8363022294314364E-2</v>
      </c>
      <c r="Q67" s="2">
        <f t="shared" si="11"/>
        <v>30625.775999999998</v>
      </c>
      <c r="AA67">
        <v>5</v>
      </c>
      <c r="AC67" t="s">
        <v>31</v>
      </c>
      <c r="AF67" t="s">
        <v>30</v>
      </c>
    </row>
    <row r="68" spans="1:32" ht="12.75" customHeight="1">
      <c r="A68" t="s">
        <v>35</v>
      </c>
      <c r="C68" s="11">
        <v>46987.535000000003</v>
      </c>
      <c r="D68" s="10"/>
      <c r="E68">
        <f t="shared" si="8"/>
        <v>4569.9560454954772</v>
      </c>
      <c r="F68">
        <f t="shared" si="9"/>
        <v>4570</v>
      </c>
      <c r="G68">
        <f t="shared" si="13"/>
        <v>-0.12173999999504304</v>
      </c>
      <c r="I68">
        <f t="shared" si="14"/>
        <v>-0.12173999999504304</v>
      </c>
      <c r="O68">
        <f t="shared" ca="1" si="10"/>
        <v>-9.1917147167247901E-2</v>
      </c>
      <c r="Q68" s="2">
        <f t="shared" si="11"/>
        <v>31969.035000000003</v>
      </c>
      <c r="AA68">
        <v>6</v>
      </c>
      <c r="AC68" t="s">
        <v>31</v>
      </c>
      <c r="AF68" t="s">
        <v>30</v>
      </c>
    </row>
    <row r="69" spans="1:32" ht="12.75" customHeight="1">
      <c r="A69" t="s">
        <v>36</v>
      </c>
      <c r="C69" s="11">
        <v>47037.41</v>
      </c>
      <c r="D69" s="10"/>
      <c r="E69">
        <f t="shared" si="8"/>
        <v>4587.9635279429203</v>
      </c>
      <c r="F69">
        <f t="shared" si="9"/>
        <v>4588</v>
      </c>
      <c r="G69">
        <f t="shared" si="13"/>
        <v>-0.10101599999325117</v>
      </c>
      <c r="I69">
        <f t="shared" si="14"/>
        <v>-0.10101599999325117</v>
      </c>
      <c r="O69">
        <f t="shared" ca="1" si="10"/>
        <v>-9.204905283263512E-2</v>
      </c>
      <c r="Q69" s="2">
        <f t="shared" si="11"/>
        <v>32018.910000000003</v>
      </c>
      <c r="AA69">
        <v>7</v>
      </c>
      <c r="AC69" t="s">
        <v>31</v>
      </c>
      <c r="AF69" t="s">
        <v>30</v>
      </c>
    </row>
    <row r="70" spans="1:32" ht="12.75" customHeight="1">
      <c r="A70" s="50" t="s">
        <v>223</v>
      </c>
      <c r="B70" s="51" t="s">
        <v>39</v>
      </c>
      <c r="C70" s="50">
        <v>47095.574999999997</v>
      </c>
      <c r="D70" s="50" t="s">
        <v>62</v>
      </c>
      <c r="E70">
        <f t="shared" si="8"/>
        <v>4608.9641337886433</v>
      </c>
      <c r="F70">
        <f t="shared" si="9"/>
        <v>4609</v>
      </c>
      <c r="G70">
        <f t="shared" si="13"/>
        <v>-9.9337999999988824E-2</v>
      </c>
      <c r="I70">
        <f t="shared" si="14"/>
        <v>-9.9337999999988824E-2</v>
      </c>
      <c r="O70">
        <f t="shared" ca="1" si="10"/>
        <v>-9.2202942775586882E-2</v>
      </c>
      <c r="Q70" s="2">
        <f t="shared" si="11"/>
        <v>32077.074999999997</v>
      </c>
    </row>
    <row r="71" spans="1:32" ht="12.75" customHeight="1">
      <c r="A71" s="50" t="s">
        <v>228</v>
      </c>
      <c r="B71" s="51" t="s">
        <v>39</v>
      </c>
      <c r="C71" s="50">
        <v>48131.442999999999</v>
      </c>
      <c r="D71" s="50" t="s">
        <v>62</v>
      </c>
      <c r="E71">
        <f t="shared" si="8"/>
        <v>4982.9666366030469</v>
      </c>
      <c r="F71">
        <f t="shared" si="9"/>
        <v>4983</v>
      </c>
      <c r="G71">
        <f t="shared" si="13"/>
        <v>-9.2405999996117316E-2</v>
      </c>
      <c r="I71">
        <f t="shared" si="14"/>
        <v>-9.2405999996117316E-2</v>
      </c>
      <c r="O71">
        <f t="shared" ca="1" si="10"/>
        <v>-9.4943649378632533E-2</v>
      </c>
      <c r="Q71" s="2">
        <f t="shared" si="11"/>
        <v>33112.942999999999</v>
      </c>
    </row>
    <row r="72" spans="1:32" ht="12.75" customHeight="1">
      <c r="A72" t="s">
        <v>37</v>
      </c>
      <c r="C72" s="11">
        <v>50369.328399999999</v>
      </c>
      <c r="D72" s="10">
        <v>1.4E-3</v>
      </c>
      <c r="E72">
        <f t="shared" si="8"/>
        <v>5790.9602618639974</v>
      </c>
      <c r="F72">
        <f t="shared" si="9"/>
        <v>5791</v>
      </c>
      <c r="G72">
        <f t="shared" si="13"/>
        <v>-0.11006199999974342</v>
      </c>
      <c r="J72">
        <f>+G72</f>
        <v>-0.11006199999974342</v>
      </c>
      <c r="O72">
        <f t="shared" ca="1" si="10"/>
        <v>-0.10086474813601459</v>
      </c>
      <c r="Q72" s="2">
        <f t="shared" si="11"/>
        <v>35350.828399999999</v>
      </c>
      <c r="AA72">
        <v>27</v>
      </c>
      <c r="AC72" t="s">
        <v>28</v>
      </c>
      <c r="AF72" t="s">
        <v>30</v>
      </c>
    </row>
    <row r="73" spans="1:32" ht="12.75" customHeight="1">
      <c r="A73" s="50" t="s">
        <v>239</v>
      </c>
      <c r="B73" s="51" t="s">
        <v>39</v>
      </c>
      <c r="C73" s="50">
        <v>50798.616999999998</v>
      </c>
      <c r="D73" s="50" t="s">
        <v>62</v>
      </c>
      <c r="E73">
        <f t="shared" si="8"/>
        <v>5945.9558895208902</v>
      </c>
      <c r="F73">
        <f t="shared" si="9"/>
        <v>5946</v>
      </c>
      <c r="G73">
        <f t="shared" si="13"/>
        <v>-0.12217200000304729</v>
      </c>
      <c r="I73">
        <f t="shared" ref="I73:I79" si="15">+G73</f>
        <v>-0.12217200000304729</v>
      </c>
      <c r="O73">
        <f t="shared" ca="1" si="10"/>
        <v>-0.10200060247684903</v>
      </c>
      <c r="Q73" s="2">
        <f t="shared" si="11"/>
        <v>35780.116999999998</v>
      </c>
    </row>
    <row r="74" spans="1:32" ht="12.75" customHeight="1">
      <c r="A74" s="50" t="s">
        <v>239</v>
      </c>
      <c r="B74" s="51" t="s">
        <v>39</v>
      </c>
      <c r="C74" s="50">
        <v>50809.684000000001</v>
      </c>
      <c r="D74" s="50" t="s">
        <v>62</v>
      </c>
      <c r="E74">
        <f t="shared" si="8"/>
        <v>5949.951655099756</v>
      </c>
      <c r="F74">
        <f t="shared" si="9"/>
        <v>5950</v>
      </c>
      <c r="G74">
        <f t="shared" si="13"/>
        <v>-0.13389999999344582</v>
      </c>
      <c r="I74">
        <f t="shared" si="15"/>
        <v>-0.13389999999344582</v>
      </c>
      <c r="O74">
        <f t="shared" ca="1" si="10"/>
        <v>-0.10202991484693508</v>
      </c>
      <c r="Q74" s="2">
        <f t="shared" si="11"/>
        <v>35791.184000000001</v>
      </c>
    </row>
    <row r="75" spans="1:32" ht="12.75" customHeight="1">
      <c r="A75" s="50" t="s">
        <v>239</v>
      </c>
      <c r="B75" s="51" t="s">
        <v>39</v>
      </c>
      <c r="C75" s="50">
        <v>51039.584000000003</v>
      </c>
      <c r="D75" s="50" t="s">
        <v>62</v>
      </c>
      <c r="E75">
        <f t="shared" si="8"/>
        <v>6032.9575741908293</v>
      </c>
      <c r="F75">
        <f t="shared" si="9"/>
        <v>6033</v>
      </c>
      <c r="G75">
        <f t="shared" si="13"/>
        <v>-0.1175059999950463</v>
      </c>
      <c r="I75">
        <f t="shared" si="15"/>
        <v>-0.1175059999950463</v>
      </c>
      <c r="O75">
        <f t="shared" ca="1" si="10"/>
        <v>-0.10263814652622061</v>
      </c>
      <c r="Q75" s="2">
        <f t="shared" si="11"/>
        <v>36021.084000000003</v>
      </c>
    </row>
    <row r="76" spans="1:32" ht="12.75" customHeight="1">
      <c r="A76" s="50" t="s">
        <v>239</v>
      </c>
      <c r="B76" s="51" t="s">
        <v>39</v>
      </c>
      <c r="C76" s="50">
        <v>51086.66</v>
      </c>
      <c r="D76" s="50" t="s">
        <v>62</v>
      </c>
      <c r="E76">
        <f t="shared" si="8"/>
        <v>6049.9544713075384</v>
      </c>
      <c r="F76">
        <f t="shared" si="9"/>
        <v>6050</v>
      </c>
      <c r="G76">
        <f t="shared" si="13"/>
        <v>-0.12609999999403954</v>
      </c>
      <c r="I76">
        <f t="shared" si="15"/>
        <v>-0.12609999999403954</v>
      </c>
      <c r="O76">
        <f t="shared" ca="1" si="10"/>
        <v>-0.10276272409908632</v>
      </c>
      <c r="Q76" s="2">
        <f t="shared" si="11"/>
        <v>36068.160000000003</v>
      </c>
    </row>
    <row r="77" spans="1:32" ht="12.75" customHeight="1">
      <c r="A77" s="50" t="s">
        <v>239</v>
      </c>
      <c r="B77" s="51" t="s">
        <v>39</v>
      </c>
      <c r="C77" s="50">
        <v>51111.597999999998</v>
      </c>
      <c r="D77" s="50" t="s">
        <v>62</v>
      </c>
      <c r="E77">
        <f t="shared" si="8"/>
        <v>6058.9583930573972</v>
      </c>
      <c r="F77">
        <f t="shared" si="9"/>
        <v>6059</v>
      </c>
      <c r="G77">
        <f t="shared" si="13"/>
        <v>-0.11523799999849871</v>
      </c>
      <c r="I77">
        <f t="shared" si="15"/>
        <v>-0.11523799999849871</v>
      </c>
      <c r="O77">
        <f t="shared" ca="1" si="10"/>
        <v>-0.10282867693177994</v>
      </c>
      <c r="Q77" s="2">
        <f t="shared" si="11"/>
        <v>36093.097999999998</v>
      </c>
    </row>
    <row r="78" spans="1:32" ht="12.75" customHeight="1">
      <c r="A78" s="50" t="s">
        <v>239</v>
      </c>
      <c r="B78" s="51" t="s">
        <v>39</v>
      </c>
      <c r="C78" s="50">
        <v>51399.629000000001</v>
      </c>
      <c r="D78" s="50" t="s">
        <v>62</v>
      </c>
      <c r="E78">
        <f t="shared" si="8"/>
        <v>6162.9526422166882</v>
      </c>
      <c r="F78">
        <f t="shared" si="9"/>
        <v>6163</v>
      </c>
      <c r="G78">
        <f t="shared" si="13"/>
        <v>-0.13116599999921164</v>
      </c>
      <c r="I78">
        <f t="shared" si="15"/>
        <v>-0.13116599999921164</v>
      </c>
      <c r="O78">
        <f t="shared" ca="1" si="10"/>
        <v>-0.10359079855401723</v>
      </c>
      <c r="Q78" s="2">
        <f t="shared" si="11"/>
        <v>36381.129000000001</v>
      </c>
    </row>
    <row r="79" spans="1:32" ht="12.75" customHeight="1">
      <c r="A79" s="50" t="s">
        <v>239</v>
      </c>
      <c r="B79" s="51" t="s">
        <v>39</v>
      </c>
      <c r="C79" s="50">
        <v>51410.701000000001</v>
      </c>
      <c r="D79" s="50" t="s">
        <v>62</v>
      </c>
      <c r="E79">
        <f t="shared" si="8"/>
        <v>6166.9502130569508</v>
      </c>
      <c r="F79">
        <f t="shared" si="9"/>
        <v>6167</v>
      </c>
      <c r="G79">
        <f t="shared" si="13"/>
        <v>-0.13789399999950547</v>
      </c>
      <c r="I79">
        <f t="shared" si="15"/>
        <v>-0.13789399999950547</v>
      </c>
      <c r="O79">
        <f t="shared" ca="1" si="10"/>
        <v>-0.10362011092410328</v>
      </c>
      <c r="Q79" s="2">
        <f t="shared" si="11"/>
        <v>36392.201000000001</v>
      </c>
    </row>
    <row r="80" spans="1:32" ht="12.75" customHeight="1">
      <c r="A80" t="s">
        <v>38</v>
      </c>
      <c r="B80" s="5" t="s">
        <v>39</v>
      </c>
      <c r="C80" s="12">
        <v>51449.497199999998</v>
      </c>
      <c r="D80" s="12">
        <v>3.0000000000000001E-3</v>
      </c>
      <c r="E80">
        <f t="shared" si="8"/>
        <v>6180.9576695086289</v>
      </c>
      <c r="F80">
        <f t="shared" si="9"/>
        <v>6181</v>
      </c>
      <c r="G80">
        <f t="shared" si="13"/>
        <v>-0.1172420000002603</v>
      </c>
      <c r="K80">
        <f>+G80</f>
        <v>-0.1172420000002603</v>
      </c>
      <c r="O80">
        <f t="shared" ca="1" si="10"/>
        <v>-0.10372270421940444</v>
      </c>
      <c r="Q80" s="2">
        <f t="shared" si="11"/>
        <v>36430.997199999998</v>
      </c>
    </row>
    <row r="81" spans="1:17" ht="12.75" customHeight="1">
      <c r="A81" s="16" t="s">
        <v>49</v>
      </c>
      <c r="B81" s="17" t="s">
        <v>39</v>
      </c>
      <c r="C81" s="16">
        <v>51751.393429999996</v>
      </c>
      <c r="D81" s="16">
        <v>3.0000000000000001E-3</v>
      </c>
      <c r="E81">
        <f t="shared" si="8"/>
        <v>6289.9579915672621</v>
      </c>
      <c r="F81">
        <f t="shared" si="9"/>
        <v>6290</v>
      </c>
      <c r="G81">
        <f t="shared" si="13"/>
        <v>-0.11635000000387663</v>
      </c>
      <c r="K81">
        <f>+G81</f>
        <v>-0.11635000000387663</v>
      </c>
      <c r="O81">
        <f t="shared" ca="1" si="10"/>
        <v>-0.1045214663042493</v>
      </c>
      <c r="Q81" s="2">
        <f t="shared" si="11"/>
        <v>36732.893429999996</v>
      </c>
    </row>
    <row r="82" spans="1:17" ht="12.75" customHeight="1">
      <c r="A82" s="16" t="s">
        <v>49</v>
      </c>
      <c r="B82" s="17" t="s">
        <v>39</v>
      </c>
      <c r="C82" s="16">
        <v>52197.319689999997</v>
      </c>
      <c r="D82" s="16">
        <v>3.5000000000000001E-3</v>
      </c>
      <c r="E82">
        <f t="shared" si="8"/>
        <v>6450.9606842951634</v>
      </c>
      <c r="F82">
        <f t="shared" si="9"/>
        <v>6451</v>
      </c>
      <c r="G82">
        <f t="shared" si="13"/>
        <v>-0.10889200000383426</v>
      </c>
      <c r="K82">
        <f>+G82</f>
        <v>-0.10889200000383426</v>
      </c>
      <c r="O82">
        <f t="shared" ca="1" si="10"/>
        <v>-0.10570128920021281</v>
      </c>
      <c r="Q82" s="2">
        <f t="shared" si="11"/>
        <v>37178.819689999997</v>
      </c>
    </row>
    <row r="83" spans="1:17" ht="12.75" customHeight="1">
      <c r="A83" s="16" t="s">
        <v>49</v>
      </c>
      <c r="B83" s="17" t="s">
        <v>39</v>
      </c>
      <c r="C83" s="16">
        <v>52219.471339999996</v>
      </c>
      <c r="D83" s="16">
        <v>4.1999999999999997E-3</v>
      </c>
      <c r="E83">
        <f t="shared" si="8"/>
        <v>6458.9585880256282</v>
      </c>
      <c r="F83">
        <f t="shared" si="9"/>
        <v>6459</v>
      </c>
      <c r="G83">
        <f t="shared" si="13"/>
        <v>-0.11469799999758834</v>
      </c>
      <c r="K83">
        <f>+G83</f>
        <v>-0.11469799999758834</v>
      </c>
      <c r="O83">
        <f t="shared" ca="1" si="10"/>
        <v>-0.10575991394038491</v>
      </c>
      <c r="Q83" s="2">
        <f t="shared" si="11"/>
        <v>37200.971339999996</v>
      </c>
    </row>
    <row r="84" spans="1:17" ht="12.75" customHeight="1">
      <c r="A84" s="50" t="s">
        <v>280</v>
      </c>
      <c r="B84" s="51" t="s">
        <v>39</v>
      </c>
      <c r="C84" s="50">
        <v>53219.361299999997</v>
      </c>
      <c r="D84" s="50" t="s">
        <v>62</v>
      </c>
      <c r="E84">
        <f t="shared" si="8"/>
        <v>6819.9711374807639</v>
      </c>
      <c r="F84">
        <f t="shared" si="9"/>
        <v>6820</v>
      </c>
      <c r="G84">
        <f t="shared" si="13"/>
        <v>-7.9940000003261957E-2</v>
      </c>
      <c r="J84">
        <f>+G84</f>
        <v>-7.9940000003261957E-2</v>
      </c>
      <c r="O84">
        <f t="shared" ca="1" si="10"/>
        <v>-0.10840535534065091</v>
      </c>
      <c r="Q84" s="2">
        <f t="shared" si="11"/>
        <v>38200.861299999997</v>
      </c>
    </row>
    <row r="85" spans="1:17" ht="12.75" customHeight="1">
      <c r="A85" s="13" t="s">
        <v>47</v>
      </c>
      <c r="B85" s="14" t="s">
        <v>39</v>
      </c>
      <c r="C85" s="12">
        <v>53252.562400000003</v>
      </c>
      <c r="D85" s="12">
        <v>1.1999999999999999E-3</v>
      </c>
      <c r="E85">
        <f t="shared" si="8"/>
        <v>6831.9584703225873</v>
      </c>
      <c r="F85">
        <f>ROUND(2*E85,0)/2</f>
        <v>6832</v>
      </c>
      <c r="G85">
        <f t="shared" si="13"/>
        <v>-0.11502399999153567</v>
      </c>
      <c r="K85">
        <f>+G85</f>
        <v>-0.11502399999153567</v>
      </c>
      <c r="O85">
        <f t="shared" ca="1" si="10"/>
        <v>-0.10849329245090905</v>
      </c>
      <c r="Q85" s="2">
        <f t="shared" si="11"/>
        <v>38234.062400000003</v>
      </c>
    </row>
    <row r="86" spans="1:17" ht="12.75" customHeight="1">
      <c r="A86" s="15" t="s">
        <v>48</v>
      </c>
      <c r="B86" s="5" t="s">
        <v>39</v>
      </c>
      <c r="C86" s="10">
        <v>54097.309600000001</v>
      </c>
      <c r="D86" s="10">
        <v>4.0000000000000002E-4</v>
      </c>
      <c r="E86">
        <f t="shared" si="8"/>
        <v>7136.9563726088418</v>
      </c>
      <c r="F86">
        <f>ROUND(2*E86,0)/2</f>
        <v>7137</v>
      </c>
      <c r="G86">
        <f t="shared" si="13"/>
        <v>-0.12083399999391986</v>
      </c>
      <c r="K86">
        <f>+G86</f>
        <v>-0.12083399999391986</v>
      </c>
      <c r="O86">
        <f t="shared" ca="1" si="10"/>
        <v>-0.11072836066997035</v>
      </c>
      <c r="Q86" s="2">
        <f t="shared" si="11"/>
        <v>39078.809600000001</v>
      </c>
    </row>
    <row r="87" spans="1:17" ht="12.75" customHeight="1">
      <c r="A87" s="35" t="s">
        <v>51</v>
      </c>
      <c r="B87" s="36"/>
      <c r="C87" s="35">
        <v>56955.595600000001</v>
      </c>
      <c r="D87" s="35">
        <v>2.3E-3</v>
      </c>
      <c r="E87">
        <f t="shared" si="8"/>
        <v>8168.9470487947719</v>
      </c>
      <c r="F87">
        <f>ROUND(2*E87,0)/2</f>
        <v>8169</v>
      </c>
      <c r="G87">
        <f t="shared" si="13"/>
        <v>-0.14665799999784213</v>
      </c>
      <c r="J87">
        <f>+G87</f>
        <v>-0.14665799999784213</v>
      </c>
      <c r="O87">
        <f t="shared" ca="1" si="10"/>
        <v>-0.1182909521521712</v>
      </c>
      <c r="Q87" s="2">
        <f t="shared" si="11"/>
        <v>41937.095600000001</v>
      </c>
    </row>
    <row r="88" spans="1:17" ht="12.75" customHeight="1">
      <c r="B88" s="5"/>
      <c r="C88" s="10"/>
      <c r="D88" s="10"/>
    </row>
    <row r="89" spans="1:17" ht="12.75" customHeight="1">
      <c r="B89" s="5"/>
      <c r="C89" s="10"/>
      <c r="D89" s="10"/>
    </row>
    <row r="90" spans="1:17" ht="12.75" customHeight="1">
      <c r="B90" s="5"/>
      <c r="C90" s="10"/>
      <c r="D90" s="10"/>
    </row>
    <row r="91" spans="1:17" ht="12.75" customHeight="1">
      <c r="B91" s="5"/>
      <c r="C91" s="10"/>
      <c r="D91" s="10"/>
    </row>
    <row r="92" spans="1:17" ht="12.75" customHeight="1">
      <c r="B92" s="5"/>
      <c r="C92" s="10"/>
      <c r="D92" s="10"/>
    </row>
    <row r="93" spans="1:17" ht="12.75" customHeight="1">
      <c r="B93" s="5"/>
      <c r="C93" s="10"/>
      <c r="D93" s="10"/>
    </row>
    <row r="94" spans="1:17" ht="12.75" customHeight="1">
      <c r="B94" s="5"/>
      <c r="C94" s="10"/>
      <c r="D94" s="10"/>
    </row>
    <row r="95" spans="1:17" ht="12.75" customHeight="1">
      <c r="B95" s="5"/>
      <c r="C95" s="10"/>
      <c r="D95" s="10"/>
    </row>
    <row r="96" spans="1:17" ht="12.75" customHeight="1">
      <c r="B96" s="5"/>
      <c r="C96" s="10"/>
      <c r="D96" s="10"/>
    </row>
    <row r="97" spans="2:4" ht="12.75" customHeight="1">
      <c r="B97" s="5"/>
      <c r="C97" s="10"/>
      <c r="D97" s="10"/>
    </row>
    <row r="98" spans="2:4" ht="12.75" customHeight="1">
      <c r="B98" s="5"/>
      <c r="C98" s="10"/>
      <c r="D98" s="10"/>
    </row>
    <row r="99" spans="2:4" ht="12.75" customHeight="1">
      <c r="B99" s="5"/>
      <c r="C99" s="10"/>
      <c r="D99" s="10"/>
    </row>
    <row r="100" spans="2:4" ht="12.75" customHeight="1">
      <c r="B100" s="5"/>
      <c r="C100" s="10"/>
      <c r="D100" s="10"/>
    </row>
    <row r="101" spans="2:4" ht="12.75" customHeight="1">
      <c r="B101" s="5"/>
      <c r="C101" s="10"/>
      <c r="D101" s="10"/>
    </row>
    <row r="102" spans="2:4" ht="12.75" customHeight="1">
      <c r="B102" s="5"/>
      <c r="C102" s="10"/>
      <c r="D102" s="10"/>
    </row>
    <row r="103" spans="2:4" ht="12.75" customHeight="1">
      <c r="B103" s="5"/>
      <c r="C103" s="10"/>
      <c r="D103" s="10"/>
    </row>
    <row r="104" spans="2:4" ht="12.75" customHeight="1">
      <c r="B104" s="5"/>
      <c r="C104" s="10"/>
      <c r="D104" s="10"/>
    </row>
    <row r="105" spans="2:4" ht="12.75" customHeight="1">
      <c r="B105" s="5"/>
      <c r="C105" s="10"/>
      <c r="D105" s="10"/>
    </row>
    <row r="106" spans="2:4" ht="12.75" customHeight="1">
      <c r="B106" s="5"/>
      <c r="C106" s="10"/>
      <c r="D106" s="10"/>
    </row>
    <row r="107" spans="2:4" ht="12.75" customHeight="1">
      <c r="B107" s="5"/>
      <c r="C107" s="10"/>
      <c r="D107" s="10"/>
    </row>
    <row r="108" spans="2:4" ht="12.75" customHeight="1">
      <c r="B108" s="5"/>
      <c r="C108" s="10"/>
      <c r="D108" s="10"/>
    </row>
    <row r="109" spans="2:4" ht="12.75" customHeight="1">
      <c r="B109" s="5"/>
      <c r="C109" s="10"/>
      <c r="D109" s="10"/>
    </row>
    <row r="110" spans="2:4" ht="12.75" customHeight="1">
      <c r="B110" s="5"/>
      <c r="C110" s="10"/>
      <c r="D110" s="10"/>
    </row>
    <row r="111" spans="2:4" ht="12.75" customHeight="1">
      <c r="C111" s="10"/>
      <c r="D111" s="10"/>
    </row>
    <row r="112" spans="2:4" ht="12.75" customHeight="1">
      <c r="C112" s="10"/>
      <c r="D112" s="10"/>
    </row>
    <row r="113" spans="3:4" ht="12.75" customHeight="1">
      <c r="C113" s="10"/>
      <c r="D113" s="10"/>
    </row>
    <row r="114" spans="3:4" ht="12.75" customHeight="1">
      <c r="C114" s="10"/>
      <c r="D114" s="10"/>
    </row>
    <row r="115" spans="3:4" ht="12.75" customHeight="1">
      <c r="C115" s="10"/>
      <c r="D115" s="10"/>
    </row>
    <row r="116" spans="3:4" ht="12.75" customHeight="1">
      <c r="C116" s="10"/>
      <c r="D116" s="10"/>
    </row>
    <row r="117" spans="3:4" ht="12.75" customHeight="1">
      <c r="C117" s="10"/>
      <c r="D117" s="10"/>
    </row>
    <row r="118" spans="3:4" ht="12.75" customHeight="1">
      <c r="C118" s="10"/>
      <c r="D118" s="10"/>
    </row>
    <row r="119" spans="3:4" ht="12.75" customHeight="1">
      <c r="C119" s="10"/>
      <c r="D119" s="10"/>
    </row>
    <row r="120" spans="3:4" ht="12.75" customHeight="1">
      <c r="C120" s="10"/>
      <c r="D120" s="10"/>
    </row>
    <row r="121" spans="3:4" ht="12.75" customHeight="1">
      <c r="C121" s="10"/>
      <c r="D121" s="10"/>
    </row>
    <row r="122" spans="3:4" ht="12.75" customHeight="1">
      <c r="C122" s="10"/>
      <c r="D122" s="10"/>
    </row>
    <row r="123" spans="3:4" ht="12.75" customHeight="1">
      <c r="C123" s="10"/>
      <c r="D123" s="10"/>
    </row>
    <row r="124" spans="3:4" ht="12.75" customHeight="1">
      <c r="C124" s="10"/>
      <c r="D124" s="10"/>
    </row>
    <row r="125" spans="3:4" ht="12.75" customHeight="1">
      <c r="C125" s="10"/>
      <c r="D125" s="10"/>
    </row>
    <row r="126" spans="3:4" ht="12.75" customHeight="1">
      <c r="C126" s="10"/>
      <c r="D126" s="10"/>
    </row>
    <row r="127" spans="3:4" ht="12.75" customHeight="1">
      <c r="C127" s="10"/>
      <c r="D127" s="10"/>
    </row>
    <row r="128" spans="3:4" ht="12.75" customHeight="1">
      <c r="C128" s="10"/>
      <c r="D128" s="10"/>
    </row>
    <row r="129" spans="3:4" ht="12.75" customHeight="1">
      <c r="C129" s="10"/>
      <c r="D129" s="10"/>
    </row>
    <row r="130" spans="3:4" ht="12.75" customHeight="1">
      <c r="C130" s="10"/>
      <c r="D130" s="10"/>
    </row>
    <row r="131" spans="3:4" ht="12.75" customHeight="1">
      <c r="C131" s="10"/>
      <c r="D131" s="10"/>
    </row>
    <row r="132" spans="3:4" ht="12.75" customHeight="1">
      <c r="C132" s="10"/>
      <c r="D132" s="10"/>
    </row>
    <row r="133" spans="3:4" ht="12.75" customHeight="1">
      <c r="C133" s="10"/>
      <c r="D133" s="10"/>
    </row>
    <row r="134" spans="3:4" ht="12.75" customHeight="1">
      <c r="C134" s="10"/>
      <c r="D134" s="10"/>
    </row>
    <row r="135" spans="3:4" ht="12.75" customHeight="1">
      <c r="C135" s="10"/>
      <c r="D135" s="10"/>
    </row>
    <row r="136" spans="3:4" ht="12.75" customHeight="1">
      <c r="C136" s="10"/>
      <c r="D136" s="10"/>
    </row>
    <row r="137" spans="3:4" ht="12.75" customHeight="1">
      <c r="C137" s="10"/>
      <c r="D137" s="10"/>
    </row>
    <row r="138" spans="3:4" ht="12.75" customHeight="1">
      <c r="C138" s="10"/>
      <c r="D138" s="10"/>
    </row>
    <row r="139" spans="3:4" ht="12.75" customHeight="1">
      <c r="C139" s="10"/>
      <c r="D139" s="10"/>
    </row>
    <row r="140" spans="3:4" ht="12.75" customHeight="1">
      <c r="C140" s="10"/>
      <c r="D140" s="10"/>
    </row>
    <row r="141" spans="3:4" ht="12.75" customHeight="1">
      <c r="C141" s="10"/>
      <c r="D141" s="10"/>
    </row>
    <row r="142" spans="3:4" ht="12.75" customHeight="1">
      <c r="C142" s="10"/>
      <c r="D142" s="10"/>
    </row>
    <row r="143" spans="3:4" ht="12.75" customHeight="1">
      <c r="C143" s="10"/>
      <c r="D143" s="10"/>
    </row>
    <row r="144" spans="3:4" ht="12.75" customHeight="1">
      <c r="C144" s="10"/>
      <c r="D144" s="10"/>
    </row>
    <row r="145" spans="3:4" ht="12.75" customHeight="1">
      <c r="C145" s="10"/>
      <c r="D145" s="10"/>
    </row>
    <row r="146" spans="3:4" ht="12.75" customHeight="1">
      <c r="C146" s="10"/>
      <c r="D146" s="10"/>
    </row>
    <row r="147" spans="3:4" ht="12.75" customHeight="1">
      <c r="C147" s="10"/>
      <c r="D147" s="10"/>
    </row>
    <row r="148" spans="3:4" ht="12.75" customHeight="1">
      <c r="C148" s="10"/>
      <c r="D148" s="10"/>
    </row>
    <row r="149" spans="3:4" ht="12.75" customHeight="1">
      <c r="C149" s="10"/>
      <c r="D149" s="10"/>
    </row>
    <row r="150" spans="3:4" ht="12.75" customHeight="1">
      <c r="C150" s="10"/>
      <c r="D150" s="10"/>
    </row>
    <row r="151" spans="3:4" ht="12.75" customHeight="1">
      <c r="C151" s="10"/>
      <c r="D151" s="10"/>
    </row>
    <row r="152" spans="3:4" ht="12.75" customHeight="1">
      <c r="C152" s="10"/>
      <c r="D152" s="10"/>
    </row>
    <row r="153" spans="3:4" ht="12.75" customHeight="1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8"/>
  <sheetViews>
    <sheetView topLeftCell="A38" workbookViewId="0">
      <selection activeCell="A24" sqref="A24:D75"/>
    </sheetView>
  </sheetViews>
  <sheetFormatPr defaultRowHeight="12.75"/>
  <cols>
    <col min="1" max="1" width="19.7109375" style="10" customWidth="1"/>
    <col min="2" max="2" width="4.42578125" style="19" customWidth="1"/>
    <col min="3" max="3" width="12.7109375" style="10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0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37" t="s">
        <v>52</v>
      </c>
      <c r="I1" s="38" t="s">
        <v>53</v>
      </c>
      <c r="J1" s="39" t="s">
        <v>54</v>
      </c>
    </row>
    <row r="2" spans="1:16">
      <c r="I2" s="40" t="s">
        <v>55</v>
      </c>
      <c r="J2" s="41" t="s">
        <v>56</v>
      </c>
    </row>
    <row r="3" spans="1:16">
      <c r="A3" s="42" t="s">
        <v>57</v>
      </c>
      <c r="I3" s="40" t="s">
        <v>58</v>
      </c>
      <c r="J3" s="41" t="s">
        <v>59</v>
      </c>
    </row>
    <row r="4" spans="1:16">
      <c r="I4" s="40" t="s">
        <v>60</v>
      </c>
      <c r="J4" s="41" t="s">
        <v>59</v>
      </c>
    </row>
    <row r="5" spans="1:16" ht="13.5" thickBot="1">
      <c r="I5" s="43" t="s">
        <v>61</v>
      </c>
      <c r="J5" s="44" t="s">
        <v>62</v>
      </c>
    </row>
    <row r="10" spans="1:16" ht="13.5" thickBot="1"/>
    <row r="11" spans="1:16" ht="12.75" customHeight="1" thickBot="1">
      <c r="A11" s="10" t="str">
        <f t="shared" ref="A11:A42" si="0">P11</f>
        <v> BBS 50 </v>
      </c>
      <c r="B11" s="5" t="str">
        <f t="shared" ref="B11:B42" si="1">IF(H11=INT(H11),"I","II")</f>
        <v>I</v>
      </c>
      <c r="C11" s="10">
        <f t="shared" ref="C11:C42" si="2">1*G11</f>
        <v>44489.362000000001</v>
      </c>
      <c r="D11" s="19" t="str">
        <f t="shared" ref="D11:D42" si="3">VLOOKUP(F11,I$1:J$5,2,FALSE)</f>
        <v>vis</v>
      </c>
      <c r="E11" s="45">
        <f>VLOOKUP(C11,Active!C$21:E$973,3,FALSE)</f>
        <v>3667.9849888904218</v>
      </c>
      <c r="F11" s="5" t="s">
        <v>61</v>
      </c>
      <c r="G11" s="19" t="str">
        <f t="shared" ref="G11:G42" si="4">MID(I11,3,LEN(I11)-3)</f>
        <v>44489.362</v>
      </c>
      <c r="H11" s="10">
        <f t="shared" ref="H11:H42" si="5">1*K11</f>
        <v>3672</v>
      </c>
      <c r="I11" s="46" t="s">
        <v>192</v>
      </c>
      <c r="J11" s="47" t="s">
        <v>193</v>
      </c>
      <c r="K11" s="46">
        <v>3672</v>
      </c>
      <c r="L11" s="46" t="s">
        <v>194</v>
      </c>
      <c r="M11" s="47" t="s">
        <v>195</v>
      </c>
      <c r="N11" s="47"/>
      <c r="O11" s="48" t="s">
        <v>196</v>
      </c>
      <c r="P11" s="48" t="s">
        <v>197</v>
      </c>
    </row>
    <row r="12" spans="1:16" ht="12.75" customHeight="1" thickBot="1">
      <c r="A12" s="10" t="str">
        <f t="shared" si="0"/>
        <v> BBS 59 </v>
      </c>
      <c r="B12" s="5" t="str">
        <f t="shared" si="1"/>
        <v>I</v>
      </c>
      <c r="C12" s="10">
        <f t="shared" si="2"/>
        <v>45043.292000000001</v>
      </c>
      <c r="D12" s="19" t="str">
        <f t="shared" si="3"/>
        <v>vis</v>
      </c>
      <c r="E12" s="45">
        <f>VLOOKUP(C12,Active!C$21:E$973,3,FALSE)</f>
        <v>3867.9826781558322</v>
      </c>
      <c r="F12" s="5" t="s">
        <v>61</v>
      </c>
      <c r="G12" s="19" t="str">
        <f t="shared" si="4"/>
        <v>45043.292</v>
      </c>
      <c r="H12" s="10">
        <f t="shared" si="5"/>
        <v>3872</v>
      </c>
      <c r="I12" s="46" t="s">
        <v>198</v>
      </c>
      <c r="J12" s="47" t="s">
        <v>199</v>
      </c>
      <c r="K12" s="46">
        <v>3872</v>
      </c>
      <c r="L12" s="46" t="s">
        <v>200</v>
      </c>
      <c r="M12" s="47" t="s">
        <v>195</v>
      </c>
      <c r="N12" s="47"/>
      <c r="O12" s="48" t="s">
        <v>201</v>
      </c>
      <c r="P12" s="48" t="s">
        <v>202</v>
      </c>
    </row>
    <row r="13" spans="1:16" ht="12.75" customHeight="1" thickBot="1">
      <c r="A13" s="10" t="str">
        <f t="shared" si="0"/>
        <v> BBS 69 </v>
      </c>
      <c r="B13" s="5" t="str">
        <f t="shared" si="1"/>
        <v>I</v>
      </c>
      <c r="C13" s="10">
        <f t="shared" si="2"/>
        <v>45644.275999999998</v>
      </c>
      <c r="D13" s="19" t="str">
        <f t="shared" si="3"/>
        <v>vis</v>
      </c>
      <c r="E13" s="45">
        <f>VLOOKUP(C13,Active!C$21:E$973,3,FALSE)</f>
        <v>4084.9693213877981</v>
      </c>
      <c r="F13" s="5" t="s">
        <v>61</v>
      </c>
      <c r="G13" s="19" t="str">
        <f t="shared" si="4"/>
        <v>45644.276</v>
      </c>
      <c r="H13" s="10">
        <f t="shared" si="5"/>
        <v>4089</v>
      </c>
      <c r="I13" s="46" t="s">
        <v>207</v>
      </c>
      <c r="J13" s="47" t="s">
        <v>208</v>
      </c>
      <c r="K13" s="46">
        <v>4089</v>
      </c>
      <c r="L13" s="46" t="s">
        <v>209</v>
      </c>
      <c r="M13" s="47" t="s">
        <v>195</v>
      </c>
      <c r="N13" s="47"/>
      <c r="O13" s="48" t="s">
        <v>201</v>
      </c>
      <c r="P13" s="48" t="s">
        <v>210</v>
      </c>
    </row>
    <row r="14" spans="1:16" ht="12.75" customHeight="1" thickBot="1">
      <c r="A14" s="10" t="str">
        <f t="shared" si="0"/>
        <v> BBS 84 </v>
      </c>
      <c r="B14" s="5" t="str">
        <f t="shared" si="1"/>
        <v>I</v>
      </c>
      <c r="C14" s="10">
        <f t="shared" si="2"/>
        <v>46987.535000000003</v>
      </c>
      <c r="D14" s="19" t="str">
        <f t="shared" si="3"/>
        <v>vis</v>
      </c>
      <c r="E14" s="45">
        <f>VLOOKUP(C14,Active!C$21:E$973,3,FALSE)</f>
        <v>4569.9560454954772</v>
      </c>
      <c r="F14" s="5" t="s">
        <v>61</v>
      </c>
      <c r="G14" s="19" t="str">
        <f t="shared" si="4"/>
        <v>46987.535</v>
      </c>
      <c r="H14" s="10">
        <f t="shared" si="5"/>
        <v>4574</v>
      </c>
      <c r="I14" s="46" t="s">
        <v>211</v>
      </c>
      <c r="J14" s="47" t="s">
        <v>212</v>
      </c>
      <c r="K14" s="46">
        <v>4574</v>
      </c>
      <c r="L14" s="46" t="s">
        <v>213</v>
      </c>
      <c r="M14" s="47" t="s">
        <v>195</v>
      </c>
      <c r="N14" s="47"/>
      <c r="O14" s="48" t="s">
        <v>201</v>
      </c>
      <c r="P14" s="48" t="s">
        <v>214</v>
      </c>
    </row>
    <row r="15" spans="1:16" ht="12.75" customHeight="1" thickBot="1">
      <c r="A15" s="10" t="str">
        <f t="shared" si="0"/>
        <v> BBS 85 </v>
      </c>
      <c r="B15" s="5" t="str">
        <f t="shared" si="1"/>
        <v>I</v>
      </c>
      <c r="C15" s="10">
        <f t="shared" si="2"/>
        <v>47037.41</v>
      </c>
      <c r="D15" s="19" t="str">
        <f t="shared" si="3"/>
        <v>vis</v>
      </c>
      <c r="E15" s="45">
        <f>VLOOKUP(C15,Active!C$21:E$973,3,FALSE)</f>
        <v>4587.9635279429203</v>
      </c>
      <c r="F15" s="5" t="s">
        <v>61</v>
      </c>
      <c r="G15" s="19" t="str">
        <f t="shared" si="4"/>
        <v>47037.410</v>
      </c>
      <c r="H15" s="10">
        <f t="shared" si="5"/>
        <v>4592</v>
      </c>
      <c r="I15" s="46" t="s">
        <v>215</v>
      </c>
      <c r="J15" s="47" t="s">
        <v>216</v>
      </c>
      <c r="K15" s="46">
        <v>4592</v>
      </c>
      <c r="L15" s="46" t="s">
        <v>217</v>
      </c>
      <c r="M15" s="47" t="s">
        <v>195</v>
      </c>
      <c r="N15" s="47"/>
      <c r="O15" s="48" t="s">
        <v>201</v>
      </c>
      <c r="P15" s="48" t="s">
        <v>218</v>
      </c>
    </row>
    <row r="16" spans="1:16" ht="12.75" customHeight="1" thickBot="1">
      <c r="A16" s="10" t="str">
        <f t="shared" si="0"/>
        <v> BBS 114 </v>
      </c>
      <c r="B16" s="5" t="str">
        <f t="shared" si="1"/>
        <v>I</v>
      </c>
      <c r="C16" s="10">
        <f t="shared" si="2"/>
        <v>50369.328399999999</v>
      </c>
      <c r="D16" s="19" t="str">
        <f t="shared" si="3"/>
        <v>vis</v>
      </c>
      <c r="E16" s="45">
        <f>VLOOKUP(C16,Active!C$21:E$973,3,FALSE)</f>
        <v>5790.9602618639974</v>
      </c>
      <c r="F16" s="5" t="s">
        <v>61</v>
      </c>
      <c r="G16" s="19" t="str">
        <f t="shared" si="4"/>
        <v>50369.3284</v>
      </c>
      <c r="H16" s="10">
        <f t="shared" si="5"/>
        <v>5795</v>
      </c>
      <c r="I16" s="46" t="s">
        <v>229</v>
      </c>
      <c r="J16" s="47" t="s">
        <v>230</v>
      </c>
      <c r="K16" s="46">
        <v>5795</v>
      </c>
      <c r="L16" s="46" t="s">
        <v>231</v>
      </c>
      <c r="M16" s="47" t="s">
        <v>232</v>
      </c>
      <c r="N16" s="47" t="s">
        <v>233</v>
      </c>
      <c r="O16" s="48" t="s">
        <v>196</v>
      </c>
      <c r="P16" s="48" t="s">
        <v>234</v>
      </c>
    </row>
    <row r="17" spans="1:16" ht="12.75" customHeight="1" thickBot="1">
      <c r="A17" s="10" t="str">
        <f t="shared" si="0"/>
        <v>IBVS 5263 </v>
      </c>
      <c r="B17" s="5" t="str">
        <f t="shared" si="1"/>
        <v>I</v>
      </c>
      <c r="C17" s="10">
        <f t="shared" si="2"/>
        <v>51449.497199999998</v>
      </c>
      <c r="D17" s="19" t="str">
        <f t="shared" si="3"/>
        <v>vis</v>
      </c>
      <c r="E17" s="45">
        <f>VLOOKUP(C17,Active!C$21:E$973,3,FALSE)</f>
        <v>6180.9576695086289</v>
      </c>
      <c r="F17" s="5" t="s">
        <v>61</v>
      </c>
      <c r="G17" s="19" t="str">
        <f t="shared" si="4"/>
        <v>51449.4972</v>
      </c>
      <c r="H17" s="10">
        <f t="shared" si="5"/>
        <v>6185</v>
      </c>
      <c r="I17" s="46" t="s">
        <v>258</v>
      </c>
      <c r="J17" s="47" t="s">
        <v>259</v>
      </c>
      <c r="K17" s="46">
        <v>6185</v>
      </c>
      <c r="L17" s="46" t="s">
        <v>260</v>
      </c>
      <c r="M17" s="47" t="s">
        <v>232</v>
      </c>
      <c r="N17" s="47" t="s">
        <v>233</v>
      </c>
      <c r="O17" s="48" t="s">
        <v>261</v>
      </c>
      <c r="P17" s="49" t="s">
        <v>262</v>
      </c>
    </row>
    <row r="18" spans="1:16" ht="12.75" customHeight="1" thickBot="1">
      <c r="A18" s="10" t="str">
        <f t="shared" si="0"/>
        <v>OEJV 0074 </v>
      </c>
      <c r="B18" s="5" t="str">
        <f t="shared" si="1"/>
        <v>I</v>
      </c>
      <c r="C18" s="10">
        <f t="shared" si="2"/>
        <v>51751.393429999996</v>
      </c>
      <c r="D18" s="19" t="str">
        <f t="shared" si="3"/>
        <v>vis</v>
      </c>
      <c r="E18" s="45">
        <f>VLOOKUP(C18,Active!C$21:E$973,3,FALSE)</f>
        <v>6289.9579915672621</v>
      </c>
      <c r="F18" s="5" t="s">
        <v>61</v>
      </c>
      <c r="G18" s="19" t="str">
        <f t="shared" si="4"/>
        <v>51751.39343</v>
      </c>
      <c r="H18" s="10">
        <f t="shared" si="5"/>
        <v>6294</v>
      </c>
      <c r="I18" s="46" t="s">
        <v>263</v>
      </c>
      <c r="J18" s="47" t="s">
        <v>264</v>
      </c>
      <c r="K18" s="46">
        <v>6294</v>
      </c>
      <c r="L18" s="46" t="s">
        <v>265</v>
      </c>
      <c r="M18" s="47" t="s">
        <v>266</v>
      </c>
      <c r="N18" s="47" t="s">
        <v>267</v>
      </c>
      <c r="O18" s="48" t="s">
        <v>268</v>
      </c>
      <c r="P18" s="49" t="s">
        <v>269</v>
      </c>
    </row>
    <row r="19" spans="1:16" ht="12.75" customHeight="1" thickBot="1">
      <c r="A19" s="10" t="str">
        <f t="shared" si="0"/>
        <v>OEJV 0074 </v>
      </c>
      <c r="B19" s="5" t="str">
        <f t="shared" si="1"/>
        <v>I</v>
      </c>
      <c r="C19" s="10">
        <f t="shared" si="2"/>
        <v>52197.319689999997</v>
      </c>
      <c r="D19" s="19" t="str">
        <f t="shared" si="3"/>
        <v>vis</v>
      </c>
      <c r="E19" s="45">
        <f>VLOOKUP(C19,Active!C$21:E$973,3,FALSE)</f>
        <v>6450.9606842951634</v>
      </c>
      <c r="F19" s="5" t="s">
        <v>61</v>
      </c>
      <c r="G19" s="19" t="str">
        <f t="shared" si="4"/>
        <v>52197.31969</v>
      </c>
      <c r="H19" s="10">
        <f t="shared" si="5"/>
        <v>6455</v>
      </c>
      <c r="I19" s="46" t="s">
        <v>270</v>
      </c>
      <c r="J19" s="47" t="s">
        <v>271</v>
      </c>
      <c r="K19" s="46">
        <v>6455</v>
      </c>
      <c r="L19" s="46" t="s">
        <v>272</v>
      </c>
      <c r="M19" s="47" t="s">
        <v>266</v>
      </c>
      <c r="N19" s="47" t="s">
        <v>267</v>
      </c>
      <c r="O19" s="48" t="s">
        <v>268</v>
      </c>
      <c r="P19" s="49" t="s">
        <v>269</v>
      </c>
    </row>
    <row r="20" spans="1:16" ht="12.75" customHeight="1" thickBot="1">
      <c r="A20" s="10" t="str">
        <f t="shared" si="0"/>
        <v>OEJV 0074 </v>
      </c>
      <c r="B20" s="5" t="str">
        <f t="shared" si="1"/>
        <v>I</v>
      </c>
      <c r="C20" s="10">
        <f t="shared" si="2"/>
        <v>52219.471339999996</v>
      </c>
      <c r="D20" s="19" t="str">
        <f t="shared" si="3"/>
        <v>vis</v>
      </c>
      <c r="E20" s="45">
        <f>VLOOKUP(C20,Active!C$21:E$973,3,FALSE)</f>
        <v>6458.9585880256282</v>
      </c>
      <c r="F20" s="5" t="s">
        <v>61</v>
      </c>
      <c r="G20" s="19" t="str">
        <f t="shared" si="4"/>
        <v>52219.47134</v>
      </c>
      <c r="H20" s="10">
        <f t="shared" si="5"/>
        <v>6463</v>
      </c>
      <c r="I20" s="46" t="s">
        <v>273</v>
      </c>
      <c r="J20" s="47" t="s">
        <v>274</v>
      </c>
      <c r="K20" s="46">
        <v>6463</v>
      </c>
      <c r="L20" s="46" t="s">
        <v>275</v>
      </c>
      <c r="M20" s="47" t="s">
        <v>266</v>
      </c>
      <c r="N20" s="47" t="s">
        <v>267</v>
      </c>
      <c r="O20" s="48" t="s">
        <v>268</v>
      </c>
      <c r="P20" s="49" t="s">
        <v>269</v>
      </c>
    </row>
    <row r="21" spans="1:16" ht="12.75" customHeight="1" thickBot="1">
      <c r="A21" s="10" t="str">
        <f t="shared" si="0"/>
        <v>IBVS 5741 </v>
      </c>
      <c r="B21" s="5" t="str">
        <f t="shared" si="1"/>
        <v>I</v>
      </c>
      <c r="C21" s="10">
        <f t="shared" si="2"/>
        <v>53252.562400000003</v>
      </c>
      <c r="D21" s="19" t="str">
        <f t="shared" si="3"/>
        <v>vis</v>
      </c>
      <c r="E21" s="45">
        <f>VLOOKUP(C21,Active!C$21:E$973,3,FALSE)</f>
        <v>6831.9584703225873</v>
      </c>
      <c r="F21" s="5" t="s">
        <v>61</v>
      </c>
      <c r="G21" s="19" t="str">
        <f t="shared" si="4"/>
        <v>53252.5624</v>
      </c>
      <c r="H21" s="10">
        <f t="shared" si="5"/>
        <v>6836</v>
      </c>
      <c r="I21" s="46" t="s">
        <v>281</v>
      </c>
      <c r="J21" s="47" t="s">
        <v>282</v>
      </c>
      <c r="K21" s="46">
        <v>6836</v>
      </c>
      <c r="L21" s="46" t="s">
        <v>283</v>
      </c>
      <c r="M21" s="47" t="s">
        <v>232</v>
      </c>
      <c r="N21" s="47" t="s">
        <v>233</v>
      </c>
      <c r="O21" s="48" t="s">
        <v>284</v>
      </c>
      <c r="P21" s="49" t="s">
        <v>285</v>
      </c>
    </row>
    <row r="22" spans="1:16" ht="12.75" customHeight="1" thickBot="1">
      <c r="A22" s="10" t="str">
        <f t="shared" si="0"/>
        <v> BBS 133 (=IBVS 5781) </v>
      </c>
      <c r="B22" s="5" t="str">
        <f t="shared" si="1"/>
        <v>I</v>
      </c>
      <c r="C22" s="10">
        <f t="shared" si="2"/>
        <v>54097.309600000001</v>
      </c>
      <c r="D22" s="19" t="str">
        <f t="shared" si="3"/>
        <v>vis</v>
      </c>
      <c r="E22" s="45">
        <f>VLOOKUP(C22,Active!C$21:E$973,3,FALSE)</f>
        <v>7136.9563726088418</v>
      </c>
      <c r="F22" s="5" t="s">
        <v>61</v>
      </c>
      <c r="G22" s="19" t="str">
        <f t="shared" si="4"/>
        <v>54097.3096</v>
      </c>
      <c r="H22" s="10">
        <f t="shared" si="5"/>
        <v>7141</v>
      </c>
      <c r="I22" s="46" t="s">
        <v>286</v>
      </c>
      <c r="J22" s="47" t="s">
        <v>287</v>
      </c>
      <c r="K22" s="46">
        <v>7141</v>
      </c>
      <c r="L22" s="46" t="s">
        <v>288</v>
      </c>
      <c r="M22" s="47" t="s">
        <v>266</v>
      </c>
      <c r="N22" s="47" t="s">
        <v>61</v>
      </c>
      <c r="O22" s="48" t="s">
        <v>289</v>
      </c>
      <c r="P22" s="48" t="s">
        <v>290</v>
      </c>
    </row>
    <row r="23" spans="1:16" ht="12.75" customHeight="1" thickBot="1">
      <c r="A23" s="10" t="str">
        <f t="shared" si="0"/>
        <v>BAVM 239 </v>
      </c>
      <c r="B23" s="5" t="str">
        <f t="shared" si="1"/>
        <v>I</v>
      </c>
      <c r="C23" s="10">
        <f t="shared" si="2"/>
        <v>56955.595600000001</v>
      </c>
      <c r="D23" s="19" t="str">
        <f t="shared" si="3"/>
        <v>vis</v>
      </c>
      <c r="E23" s="45">
        <f>VLOOKUP(C23,Active!C$21:E$973,3,FALSE)</f>
        <v>8168.9470487947719</v>
      </c>
      <c r="F23" s="5" t="s">
        <v>61</v>
      </c>
      <c r="G23" s="19" t="str">
        <f t="shared" si="4"/>
        <v>56955.5956</v>
      </c>
      <c r="H23" s="10">
        <f t="shared" si="5"/>
        <v>8173</v>
      </c>
      <c r="I23" s="46" t="s">
        <v>291</v>
      </c>
      <c r="J23" s="47" t="s">
        <v>292</v>
      </c>
      <c r="K23" s="46">
        <v>8173</v>
      </c>
      <c r="L23" s="46" t="s">
        <v>293</v>
      </c>
      <c r="M23" s="47" t="s">
        <v>266</v>
      </c>
      <c r="N23" s="47" t="s">
        <v>294</v>
      </c>
      <c r="O23" s="48" t="s">
        <v>295</v>
      </c>
      <c r="P23" s="49" t="s">
        <v>296</v>
      </c>
    </row>
    <row r="24" spans="1:16" ht="12.75" customHeight="1" thickBot="1">
      <c r="A24" s="10" t="str">
        <f t="shared" si="0"/>
        <v> PZ 11.470 </v>
      </c>
      <c r="B24" s="5" t="str">
        <f t="shared" si="1"/>
        <v>I</v>
      </c>
      <c r="C24" s="10">
        <f t="shared" si="2"/>
        <v>14604.349</v>
      </c>
      <c r="D24" s="19" t="str">
        <f t="shared" si="3"/>
        <v>vis</v>
      </c>
      <c r="E24" s="45">
        <f>VLOOKUP(C24,Active!C$21:E$973,3,FALSE)</f>
        <v>-7122.0670820693485</v>
      </c>
      <c r="F24" s="5" t="s">
        <v>61</v>
      </c>
      <c r="G24" s="19" t="str">
        <f t="shared" si="4"/>
        <v>14604.349</v>
      </c>
      <c r="H24" s="10">
        <f t="shared" si="5"/>
        <v>-7122</v>
      </c>
      <c r="I24" s="46" t="s">
        <v>63</v>
      </c>
      <c r="J24" s="47" t="s">
        <v>64</v>
      </c>
      <c r="K24" s="46">
        <v>-7122</v>
      </c>
      <c r="L24" s="46" t="s">
        <v>65</v>
      </c>
      <c r="M24" s="47" t="s">
        <v>66</v>
      </c>
      <c r="N24" s="47"/>
      <c r="O24" s="48" t="s">
        <v>67</v>
      </c>
      <c r="P24" s="48" t="s">
        <v>68</v>
      </c>
    </row>
    <row r="25" spans="1:16" ht="12.75" customHeight="1" thickBot="1">
      <c r="A25" s="10" t="str">
        <f t="shared" si="0"/>
        <v> PZ 10.120 </v>
      </c>
      <c r="B25" s="5" t="str">
        <f t="shared" si="1"/>
        <v>I</v>
      </c>
      <c r="C25" s="10">
        <f t="shared" si="2"/>
        <v>28760.471000000001</v>
      </c>
      <c r="D25" s="19" t="str">
        <f t="shared" si="3"/>
        <v>vis</v>
      </c>
      <c r="E25" s="45">
        <f>VLOOKUP(C25,Active!C$21:E$973,3,FALSE)</f>
        <v>-2010.9669629943069</v>
      </c>
      <c r="F25" s="5" t="s">
        <v>61</v>
      </c>
      <c r="G25" s="19" t="str">
        <f t="shared" si="4"/>
        <v>28760.471</v>
      </c>
      <c r="H25" s="10">
        <f t="shared" si="5"/>
        <v>-2011</v>
      </c>
      <c r="I25" s="46" t="s">
        <v>69</v>
      </c>
      <c r="J25" s="47" t="s">
        <v>70</v>
      </c>
      <c r="K25" s="46">
        <v>-2011</v>
      </c>
      <c r="L25" s="46" t="s">
        <v>71</v>
      </c>
      <c r="M25" s="47" t="s">
        <v>66</v>
      </c>
      <c r="N25" s="47"/>
      <c r="O25" s="48" t="s">
        <v>67</v>
      </c>
      <c r="P25" s="48" t="s">
        <v>72</v>
      </c>
    </row>
    <row r="26" spans="1:16" ht="12.75" customHeight="1" thickBot="1">
      <c r="A26" s="10" t="str">
        <f t="shared" si="0"/>
        <v> PZ 10.120 </v>
      </c>
      <c r="B26" s="5" t="str">
        <f t="shared" si="1"/>
        <v>I</v>
      </c>
      <c r="C26" s="10">
        <f t="shared" si="2"/>
        <v>29192.454000000002</v>
      </c>
      <c r="D26" s="19" t="str">
        <f t="shared" si="3"/>
        <v>vis</v>
      </c>
      <c r="E26" s="45">
        <f>VLOOKUP(C26,Active!C$21:E$973,3,FALSE)</f>
        <v>-1854.9985160751298</v>
      </c>
      <c r="F26" s="5" t="s">
        <v>61</v>
      </c>
      <c r="G26" s="19" t="str">
        <f t="shared" si="4"/>
        <v>29192.454</v>
      </c>
      <c r="H26" s="10">
        <f t="shared" si="5"/>
        <v>-1855</v>
      </c>
      <c r="I26" s="46" t="s">
        <v>73</v>
      </c>
      <c r="J26" s="47" t="s">
        <v>74</v>
      </c>
      <c r="K26" s="46">
        <v>-1855</v>
      </c>
      <c r="L26" s="46" t="s">
        <v>75</v>
      </c>
      <c r="M26" s="47" t="s">
        <v>66</v>
      </c>
      <c r="N26" s="47"/>
      <c r="O26" s="48" t="s">
        <v>67</v>
      </c>
      <c r="P26" s="48" t="s">
        <v>72</v>
      </c>
    </row>
    <row r="27" spans="1:16" ht="12.75" customHeight="1" thickBot="1">
      <c r="A27" s="10" t="str">
        <f t="shared" si="0"/>
        <v> AC 178.24 </v>
      </c>
      <c r="B27" s="5" t="str">
        <f t="shared" si="1"/>
        <v>I</v>
      </c>
      <c r="C27" s="10">
        <f t="shared" si="2"/>
        <v>29250.396000000001</v>
      </c>
      <c r="D27" s="19" t="str">
        <f t="shared" si="3"/>
        <v>vis</v>
      </c>
      <c r="E27" s="45">
        <f>VLOOKUP(C27,Active!C$21:E$973,3,FALSE)</f>
        <v>-1834.0784248877665</v>
      </c>
      <c r="F27" s="5" t="s">
        <v>61</v>
      </c>
      <c r="G27" s="19" t="str">
        <f t="shared" si="4"/>
        <v>29250.396</v>
      </c>
      <c r="H27" s="10">
        <f t="shared" si="5"/>
        <v>-1834</v>
      </c>
      <c r="I27" s="46" t="s">
        <v>76</v>
      </c>
      <c r="J27" s="47" t="s">
        <v>77</v>
      </c>
      <c r="K27" s="46">
        <v>-1834</v>
      </c>
      <c r="L27" s="46" t="s">
        <v>78</v>
      </c>
      <c r="M27" s="47" t="s">
        <v>66</v>
      </c>
      <c r="N27" s="47"/>
      <c r="O27" s="48" t="s">
        <v>79</v>
      </c>
      <c r="P27" s="48" t="s">
        <v>80</v>
      </c>
    </row>
    <row r="28" spans="1:16" ht="12.75" customHeight="1" thickBot="1">
      <c r="A28" s="10" t="str">
        <f t="shared" si="0"/>
        <v> AC 178.24 </v>
      </c>
      <c r="B28" s="5" t="str">
        <f t="shared" si="1"/>
        <v>I</v>
      </c>
      <c r="C28" s="10">
        <f t="shared" si="2"/>
        <v>29840.379000000001</v>
      </c>
      <c r="D28" s="19" t="str">
        <f t="shared" si="3"/>
        <v>vis</v>
      </c>
      <c r="E28" s="45">
        <f>VLOOKUP(C28,Active!C$21:E$973,3,FALSE)</f>
        <v>-1621.063717784207</v>
      </c>
      <c r="F28" s="5" t="s">
        <v>61</v>
      </c>
      <c r="G28" s="19" t="str">
        <f t="shared" si="4"/>
        <v>29840.379</v>
      </c>
      <c r="H28" s="10">
        <f t="shared" si="5"/>
        <v>-1621</v>
      </c>
      <c r="I28" s="46" t="s">
        <v>81</v>
      </c>
      <c r="J28" s="47" t="s">
        <v>82</v>
      </c>
      <c r="K28" s="46">
        <v>-1621</v>
      </c>
      <c r="L28" s="46" t="s">
        <v>83</v>
      </c>
      <c r="M28" s="47" t="s">
        <v>66</v>
      </c>
      <c r="N28" s="47"/>
      <c r="O28" s="48" t="s">
        <v>79</v>
      </c>
      <c r="P28" s="48" t="s">
        <v>80</v>
      </c>
    </row>
    <row r="29" spans="1:16" ht="12.75" customHeight="1" thickBot="1">
      <c r="A29" s="10" t="str">
        <f t="shared" si="0"/>
        <v> PZ 10.120 </v>
      </c>
      <c r="B29" s="5" t="str">
        <f t="shared" si="1"/>
        <v>I</v>
      </c>
      <c r="C29" s="10">
        <f t="shared" si="2"/>
        <v>29962.328000000001</v>
      </c>
      <c r="D29" s="19" t="str">
        <f t="shared" si="3"/>
        <v>vis</v>
      </c>
      <c r="E29" s="45">
        <f>VLOOKUP(C29,Active!C$21:E$973,3,FALSE)</f>
        <v>-1577.0337533334143</v>
      </c>
      <c r="F29" s="5" t="s">
        <v>61</v>
      </c>
      <c r="G29" s="19" t="str">
        <f t="shared" si="4"/>
        <v>29962.328</v>
      </c>
      <c r="H29" s="10">
        <f t="shared" si="5"/>
        <v>-1577</v>
      </c>
      <c r="I29" s="46" t="s">
        <v>84</v>
      </c>
      <c r="J29" s="47" t="s">
        <v>85</v>
      </c>
      <c r="K29" s="46">
        <v>-1577</v>
      </c>
      <c r="L29" s="46" t="s">
        <v>86</v>
      </c>
      <c r="M29" s="47" t="s">
        <v>66</v>
      </c>
      <c r="N29" s="47"/>
      <c r="O29" s="48" t="s">
        <v>67</v>
      </c>
      <c r="P29" s="48" t="s">
        <v>72</v>
      </c>
    </row>
    <row r="30" spans="1:16" ht="12.75" customHeight="1" thickBot="1">
      <c r="A30" s="10" t="str">
        <f t="shared" si="0"/>
        <v> PZ 10.120 </v>
      </c>
      <c r="B30" s="5" t="str">
        <f t="shared" si="1"/>
        <v>I</v>
      </c>
      <c r="C30" s="10">
        <f t="shared" si="2"/>
        <v>29962.359</v>
      </c>
      <c r="D30" s="19" t="str">
        <f t="shared" si="3"/>
        <v>vis</v>
      </c>
      <c r="E30" s="45">
        <f>VLOOKUP(C30,Active!C$21:E$973,3,FALSE)</f>
        <v>-1577.0225607127456</v>
      </c>
      <c r="F30" s="5" t="s">
        <v>61</v>
      </c>
      <c r="G30" s="19" t="str">
        <f t="shared" si="4"/>
        <v>29962.359</v>
      </c>
      <c r="H30" s="10">
        <f t="shared" si="5"/>
        <v>-1577</v>
      </c>
      <c r="I30" s="46" t="s">
        <v>87</v>
      </c>
      <c r="J30" s="47" t="s">
        <v>88</v>
      </c>
      <c r="K30" s="46">
        <v>-1577</v>
      </c>
      <c r="L30" s="46" t="s">
        <v>89</v>
      </c>
      <c r="M30" s="47" t="s">
        <v>66</v>
      </c>
      <c r="N30" s="47"/>
      <c r="O30" s="48" t="s">
        <v>67</v>
      </c>
      <c r="P30" s="48" t="s">
        <v>72</v>
      </c>
    </row>
    <row r="31" spans="1:16" ht="12.75" customHeight="1" thickBot="1">
      <c r="A31" s="10" t="str">
        <f t="shared" si="0"/>
        <v> AC 178.24 </v>
      </c>
      <c r="B31" s="5" t="str">
        <f t="shared" si="1"/>
        <v>I</v>
      </c>
      <c r="C31" s="10">
        <f t="shared" si="2"/>
        <v>30045.483</v>
      </c>
      <c r="D31" s="19" t="str">
        <f t="shared" si="3"/>
        <v>vis</v>
      </c>
      <c r="E31" s="45">
        <f>VLOOKUP(C31,Active!C$21:E$973,3,FALSE)</f>
        <v>-1547.0104510192864</v>
      </c>
      <c r="F31" s="5" t="s">
        <v>61</v>
      </c>
      <c r="G31" s="19" t="str">
        <f t="shared" si="4"/>
        <v>30045.483</v>
      </c>
      <c r="H31" s="10">
        <f t="shared" si="5"/>
        <v>-1547</v>
      </c>
      <c r="I31" s="46" t="s">
        <v>90</v>
      </c>
      <c r="J31" s="47" t="s">
        <v>91</v>
      </c>
      <c r="K31" s="46">
        <v>-1547</v>
      </c>
      <c r="L31" s="46" t="s">
        <v>92</v>
      </c>
      <c r="M31" s="47" t="s">
        <v>66</v>
      </c>
      <c r="N31" s="47"/>
      <c r="O31" s="48" t="s">
        <v>79</v>
      </c>
      <c r="P31" s="48" t="s">
        <v>80</v>
      </c>
    </row>
    <row r="32" spans="1:16" ht="12.75" customHeight="1" thickBot="1">
      <c r="A32" s="10" t="str">
        <f t="shared" si="0"/>
        <v> VSS 2.311 </v>
      </c>
      <c r="B32" s="5" t="str">
        <f t="shared" si="1"/>
        <v>I</v>
      </c>
      <c r="C32" s="10">
        <f t="shared" si="2"/>
        <v>30261.527999999998</v>
      </c>
      <c r="D32" s="19" t="str">
        <f t="shared" si="3"/>
        <v>vis</v>
      </c>
      <c r="E32" s="45">
        <f>VLOOKUP(C32,Active!C$21:E$973,3,FALSE)</f>
        <v>-1469.0069112627373</v>
      </c>
      <c r="F32" s="5" t="s">
        <v>61</v>
      </c>
      <c r="G32" s="19" t="str">
        <f t="shared" si="4"/>
        <v>30261.528</v>
      </c>
      <c r="H32" s="10">
        <f t="shared" si="5"/>
        <v>-1469</v>
      </c>
      <c r="I32" s="46" t="s">
        <v>93</v>
      </c>
      <c r="J32" s="47" t="s">
        <v>94</v>
      </c>
      <c r="K32" s="46">
        <v>-1469</v>
      </c>
      <c r="L32" s="46" t="s">
        <v>95</v>
      </c>
      <c r="M32" s="47" t="s">
        <v>66</v>
      </c>
      <c r="N32" s="47"/>
      <c r="O32" s="48" t="s">
        <v>96</v>
      </c>
      <c r="P32" s="48" t="s">
        <v>97</v>
      </c>
    </row>
    <row r="33" spans="1:16" ht="12.75" customHeight="1" thickBot="1">
      <c r="A33" s="10" t="str">
        <f t="shared" si="0"/>
        <v> VSS 2.311 </v>
      </c>
      <c r="B33" s="5" t="str">
        <f t="shared" si="1"/>
        <v>I</v>
      </c>
      <c r="C33" s="10">
        <f t="shared" si="2"/>
        <v>30347.298999999999</v>
      </c>
      <c r="D33" s="19" t="str">
        <f t="shared" si="3"/>
        <v>vis</v>
      </c>
      <c r="E33" s="45">
        <f>VLOOKUP(C33,Active!C$21:E$973,3,FALSE)</f>
        <v>-1438.0390961850494</v>
      </c>
      <c r="F33" s="5" t="s">
        <v>61</v>
      </c>
      <c r="G33" s="19" t="str">
        <f t="shared" si="4"/>
        <v>30347.299</v>
      </c>
      <c r="H33" s="10">
        <f t="shared" si="5"/>
        <v>-1438</v>
      </c>
      <c r="I33" s="46" t="s">
        <v>98</v>
      </c>
      <c r="J33" s="47" t="s">
        <v>99</v>
      </c>
      <c r="K33" s="46">
        <v>-1438</v>
      </c>
      <c r="L33" s="46" t="s">
        <v>100</v>
      </c>
      <c r="M33" s="47" t="s">
        <v>66</v>
      </c>
      <c r="N33" s="47"/>
      <c r="O33" s="48" t="s">
        <v>96</v>
      </c>
      <c r="P33" s="48" t="s">
        <v>97</v>
      </c>
    </row>
    <row r="34" spans="1:16" ht="12.75" customHeight="1" thickBot="1">
      <c r="A34" s="10" t="str">
        <f t="shared" si="0"/>
        <v> PZ 10.120 </v>
      </c>
      <c r="B34" s="5" t="str">
        <f t="shared" si="1"/>
        <v>I</v>
      </c>
      <c r="C34" s="10">
        <f t="shared" si="2"/>
        <v>30674.344000000001</v>
      </c>
      <c r="D34" s="19" t="str">
        <f t="shared" si="3"/>
        <v>vis</v>
      </c>
      <c r="E34" s="45">
        <f>VLOOKUP(C34,Active!C$21:E$973,3,FALSE)</f>
        <v>-1319.9587533875724</v>
      </c>
      <c r="F34" s="5" t="s">
        <v>61</v>
      </c>
      <c r="G34" s="19" t="str">
        <f t="shared" si="4"/>
        <v>30674.344</v>
      </c>
      <c r="H34" s="10">
        <f t="shared" si="5"/>
        <v>-1320</v>
      </c>
      <c r="I34" s="46" t="s">
        <v>101</v>
      </c>
      <c r="J34" s="47" t="s">
        <v>102</v>
      </c>
      <c r="K34" s="46">
        <v>-1320</v>
      </c>
      <c r="L34" s="46" t="s">
        <v>103</v>
      </c>
      <c r="M34" s="47" t="s">
        <v>66</v>
      </c>
      <c r="N34" s="47"/>
      <c r="O34" s="48" t="s">
        <v>67</v>
      </c>
      <c r="P34" s="48" t="s">
        <v>72</v>
      </c>
    </row>
    <row r="35" spans="1:16" ht="12.75" customHeight="1" thickBot="1">
      <c r="A35" s="10" t="str">
        <f t="shared" si="0"/>
        <v> AC 178.24 </v>
      </c>
      <c r="B35" s="5" t="str">
        <f t="shared" si="1"/>
        <v>I</v>
      </c>
      <c r="C35" s="10">
        <f t="shared" si="2"/>
        <v>31192.238000000001</v>
      </c>
      <c r="D35" s="19" t="str">
        <f t="shared" si="3"/>
        <v>vis</v>
      </c>
      <c r="E35" s="45">
        <f>VLOOKUP(C35,Active!C$21:E$973,3,FALSE)</f>
        <v>-1132.9719440715569</v>
      </c>
      <c r="F35" s="5" t="s">
        <v>61</v>
      </c>
      <c r="G35" s="19" t="str">
        <f t="shared" si="4"/>
        <v>31192.238</v>
      </c>
      <c r="H35" s="10">
        <f t="shared" si="5"/>
        <v>-1133</v>
      </c>
      <c r="I35" s="46" t="s">
        <v>104</v>
      </c>
      <c r="J35" s="47" t="s">
        <v>105</v>
      </c>
      <c r="K35" s="46">
        <v>-1133</v>
      </c>
      <c r="L35" s="46" t="s">
        <v>106</v>
      </c>
      <c r="M35" s="47" t="s">
        <v>66</v>
      </c>
      <c r="N35" s="47"/>
      <c r="O35" s="48" t="s">
        <v>79</v>
      </c>
      <c r="P35" s="48" t="s">
        <v>80</v>
      </c>
    </row>
    <row r="36" spans="1:16" ht="12.75" customHeight="1" thickBot="1">
      <c r="A36" s="10" t="str">
        <f t="shared" si="0"/>
        <v> AC 178.24 </v>
      </c>
      <c r="B36" s="5" t="str">
        <f t="shared" si="1"/>
        <v>I</v>
      </c>
      <c r="C36" s="10">
        <f t="shared" si="2"/>
        <v>31225.405999999999</v>
      </c>
      <c r="D36" s="19" t="str">
        <f t="shared" si="3"/>
        <v>vis</v>
      </c>
      <c r="E36" s="45">
        <f>VLOOKUP(C36,Active!C$21:E$973,3,FALSE)</f>
        <v>-1120.9965620601931</v>
      </c>
      <c r="F36" s="5" t="s">
        <v>61</v>
      </c>
      <c r="G36" s="19" t="str">
        <f t="shared" si="4"/>
        <v>31225.406</v>
      </c>
      <c r="H36" s="10">
        <f t="shared" si="5"/>
        <v>-1121</v>
      </c>
      <c r="I36" s="46" t="s">
        <v>107</v>
      </c>
      <c r="J36" s="47" t="s">
        <v>108</v>
      </c>
      <c r="K36" s="46">
        <v>-1121</v>
      </c>
      <c r="L36" s="46" t="s">
        <v>109</v>
      </c>
      <c r="M36" s="47" t="s">
        <v>66</v>
      </c>
      <c r="N36" s="47"/>
      <c r="O36" s="48" t="s">
        <v>79</v>
      </c>
      <c r="P36" s="48" t="s">
        <v>80</v>
      </c>
    </row>
    <row r="37" spans="1:16" ht="12.75" customHeight="1" thickBot="1">
      <c r="A37" s="10" t="str">
        <f t="shared" si="0"/>
        <v> AC 178.24 </v>
      </c>
      <c r="B37" s="5" t="str">
        <f t="shared" si="1"/>
        <v>I</v>
      </c>
      <c r="C37" s="10">
        <f t="shared" si="2"/>
        <v>31430.159</v>
      </c>
      <c r="D37" s="19" t="str">
        <f t="shared" si="3"/>
        <v>vis</v>
      </c>
      <c r="E37" s="45">
        <f>VLOOKUP(C37,Active!C$21:E$973,3,FALSE)</f>
        <v>-1047.0700246454285</v>
      </c>
      <c r="F37" s="5" t="s">
        <v>61</v>
      </c>
      <c r="G37" s="19" t="str">
        <f t="shared" si="4"/>
        <v>31430.159</v>
      </c>
      <c r="H37" s="10">
        <f t="shared" si="5"/>
        <v>-1047</v>
      </c>
      <c r="I37" s="46" t="s">
        <v>110</v>
      </c>
      <c r="J37" s="47" t="s">
        <v>111</v>
      </c>
      <c r="K37" s="46">
        <v>-1047</v>
      </c>
      <c r="L37" s="46" t="s">
        <v>112</v>
      </c>
      <c r="M37" s="47" t="s">
        <v>66</v>
      </c>
      <c r="N37" s="47"/>
      <c r="O37" s="48" t="s">
        <v>79</v>
      </c>
      <c r="P37" s="48" t="s">
        <v>80</v>
      </c>
    </row>
    <row r="38" spans="1:16" ht="12.75" customHeight="1" thickBot="1">
      <c r="A38" s="10" t="str">
        <f t="shared" si="0"/>
        <v> AC 178.24 </v>
      </c>
      <c r="B38" s="5" t="str">
        <f t="shared" si="1"/>
        <v>I</v>
      </c>
      <c r="C38" s="10">
        <f t="shared" si="2"/>
        <v>31801.37</v>
      </c>
      <c r="D38" s="19" t="str">
        <f t="shared" si="3"/>
        <v>vis</v>
      </c>
      <c r="E38" s="45">
        <f>VLOOKUP(C38,Active!C$21:E$973,3,FALSE)</f>
        <v>-913.04344686501918</v>
      </c>
      <c r="F38" s="5" t="s">
        <v>61</v>
      </c>
      <c r="G38" s="19" t="str">
        <f t="shared" si="4"/>
        <v>31801.370</v>
      </c>
      <c r="H38" s="10">
        <f t="shared" si="5"/>
        <v>-913</v>
      </c>
      <c r="I38" s="46" t="s">
        <v>113</v>
      </c>
      <c r="J38" s="47" t="s">
        <v>114</v>
      </c>
      <c r="K38" s="46">
        <v>-913</v>
      </c>
      <c r="L38" s="46" t="s">
        <v>115</v>
      </c>
      <c r="M38" s="47" t="s">
        <v>66</v>
      </c>
      <c r="N38" s="47"/>
      <c r="O38" s="48" t="s">
        <v>79</v>
      </c>
      <c r="P38" s="48" t="s">
        <v>80</v>
      </c>
    </row>
    <row r="39" spans="1:16" ht="12.75" customHeight="1" thickBot="1">
      <c r="A39" s="10" t="str">
        <f t="shared" si="0"/>
        <v> AC 178.24 </v>
      </c>
      <c r="B39" s="5" t="str">
        <f t="shared" si="1"/>
        <v>I</v>
      </c>
      <c r="C39" s="10">
        <f t="shared" si="2"/>
        <v>31801.425999999999</v>
      </c>
      <c r="D39" s="19" t="str">
        <f t="shared" si="3"/>
        <v>vis</v>
      </c>
      <c r="E39" s="45">
        <f>VLOOKUP(C39,Active!C$21:E$973,3,FALSE)</f>
        <v>-913.0232279373588</v>
      </c>
      <c r="F39" s="5" t="s">
        <v>61</v>
      </c>
      <c r="G39" s="19" t="str">
        <f t="shared" si="4"/>
        <v>31801.426</v>
      </c>
      <c r="H39" s="10">
        <f t="shared" si="5"/>
        <v>-913</v>
      </c>
      <c r="I39" s="46" t="s">
        <v>116</v>
      </c>
      <c r="J39" s="47" t="s">
        <v>117</v>
      </c>
      <c r="K39" s="46">
        <v>-913</v>
      </c>
      <c r="L39" s="46" t="s">
        <v>118</v>
      </c>
      <c r="M39" s="47" t="s">
        <v>66</v>
      </c>
      <c r="N39" s="47"/>
      <c r="O39" s="48" t="s">
        <v>79</v>
      </c>
      <c r="P39" s="48" t="s">
        <v>80</v>
      </c>
    </row>
    <row r="40" spans="1:16" ht="12.75" customHeight="1" thickBot="1">
      <c r="A40" s="10" t="str">
        <f t="shared" si="0"/>
        <v> AC 178.24 </v>
      </c>
      <c r="B40" s="5" t="str">
        <f t="shared" si="1"/>
        <v>I</v>
      </c>
      <c r="C40" s="10">
        <f t="shared" si="2"/>
        <v>31815.248</v>
      </c>
      <c r="D40" s="19" t="str">
        <f t="shared" si="3"/>
        <v>vis</v>
      </c>
      <c r="E40" s="45">
        <f>VLOOKUP(C40,Active!C$21:E$973,3,FALSE)</f>
        <v>-908.03276332806422</v>
      </c>
      <c r="F40" s="5" t="s">
        <v>61</v>
      </c>
      <c r="G40" s="19" t="str">
        <f t="shared" si="4"/>
        <v>31815.248</v>
      </c>
      <c r="H40" s="10">
        <f t="shared" si="5"/>
        <v>-908</v>
      </c>
      <c r="I40" s="46" t="s">
        <v>119</v>
      </c>
      <c r="J40" s="47" t="s">
        <v>120</v>
      </c>
      <c r="K40" s="46">
        <v>-908</v>
      </c>
      <c r="L40" s="46" t="s">
        <v>121</v>
      </c>
      <c r="M40" s="47" t="s">
        <v>66</v>
      </c>
      <c r="N40" s="47"/>
      <c r="O40" s="48" t="s">
        <v>79</v>
      </c>
      <c r="P40" s="48" t="s">
        <v>80</v>
      </c>
    </row>
    <row r="41" spans="1:16" ht="12.75" customHeight="1" thickBot="1">
      <c r="A41" s="10" t="str">
        <f t="shared" si="0"/>
        <v> AC 178.24 </v>
      </c>
      <c r="B41" s="5" t="str">
        <f t="shared" si="1"/>
        <v>I</v>
      </c>
      <c r="C41" s="10">
        <f t="shared" si="2"/>
        <v>32178.263999999999</v>
      </c>
      <c r="D41" s="19" t="str">
        <f t="shared" si="3"/>
        <v>vis</v>
      </c>
      <c r="E41" s="45">
        <f>VLOOKUP(C41,Active!C$21:E$973,3,FALSE)</f>
        <v>-776.96500897937017</v>
      </c>
      <c r="F41" s="5" t="s">
        <v>61</v>
      </c>
      <c r="G41" s="19" t="str">
        <f t="shared" si="4"/>
        <v>32178.264</v>
      </c>
      <c r="H41" s="10">
        <f t="shared" si="5"/>
        <v>-777</v>
      </c>
      <c r="I41" s="46" t="s">
        <v>122</v>
      </c>
      <c r="J41" s="47" t="s">
        <v>123</v>
      </c>
      <c r="K41" s="46">
        <v>-777</v>
      </c>
      <c r="L41" s="46" t="s">
        <v>124</v>
      </c>
      <c r="M41" s="47" t="s">
        <v>66</v>
      </c>
      <c r="N41" s="47"/>
      <c r="O41" s="48" t="s">
        <v>79</v>
      </c>
      <c r="P41" s="48" t="s">
        <v>80</v>
      </c>
    </row>
    <row r="42" spans="1:16" ht="12.75" customHeight="1" thickBot="1">
      <c r="A42" s="10" t="str">
        <f t="shared" si="0"/>
        <v> AC 178.24 </v>
      </c>
      <c r="B42" s="5" t="str">
        <f t="shared" si="1"/>
        <v>I</v>
      </c>
      <c r="C42" s="10">
        <f t="shared" si="2"/>
        <v>32405.307000000001</v>
      </c>
      <c r="D42" s="19" t="str">
        <f t="shared" si="3"/>
        <v>vis</v>
      </c>
      <c r="E42" s="45">
        <f>VLOOKUP(C42,Active!C$21:E$973,3,FALSE)</f>
        <v>-694.99061625125137</v>
      </c>
      <c r="F42" s="5" t="s">
        <v>61</v>
      </c>
      <c r="G42" s="19" t="str">
        <f t="shared" si="4"/>
        <v>32405.307</v>
      </c>
      <c r="H42" s="10">
        <f t="shared" si="5"/>
        <v>-695</v>
      </c>
      <c r="I42" s="46" t="s">
        <v>125</v>
      </c>
      <c r="J42" s="47" t="s">
        <v>126</v>
      </c>
      <c r="K42" s="46">
        <v>-695</v>
      </c>
      <c r="L42" s="46" t="s">
        <v>127</v>
      </c>
      <c r="M42" s="47" t="s">
        <v>66</v>
      </c>
      <c r="N42" s="47"/>
      <c r="O42" s="48" t="s">
        <v>79</v>
      </c>
      <c r="P42" s="48" t="s">
        <v>80</v>
      </c>
    </row>
    <row r="43" spans="1:16" ht="12.75" customHeight="1" thickBot="1">
      <c r="A43" s="10" t="str">
        <f t="shared" ref="A43:A75" si="6">P43</f>
        <v> AC 178.24 </v>
      </c>
      <c r="B43" s="5" t="str">
        <f t="shared" ref="B43:B75" si="7">IF(H43=INT(H43),"I","II")</f>
        <v>I</v>
      </c>
      <c r="C43" s="10">
        <f t="shared" ref="C43:C75" si="8">1*G43</f>
        <v>32981.315000000002</v>
      </c>
      <c r="D43" s="19" t="str">
        <f t="shared" ref="D43:D75" si="9">VLOOKUP(F43,I$1:J$5,2,FALSE)</f>
        <v>vis</v>
      </c>
      <c r="E43" s="45">
        <f>VLOOKUP(C43,Active!C$21:E$973,3,FALSE)</f>
        <v>-487.02161475577225</v>
      </c>
      <c r="F43" s="5" t="s">
        <v>61</v>
      </c>
      <c r="G43" s="19" t="str">
        <f t="shared" ref="G43:G75" si="10">MID(I43,3,LEN(I43)-3)</f>
        <v>32981.315</v>
      </c>
      <c r="H43" s="10">
        <f t="shared" ref="H43:H75" si="11">1*K43</f>
        <v>-487</v>
      </c>
      <c r="I43" s="46" t="s">
        <v>128</v>
      </c>
      <c r="J43" s="47" t="s">
        <v>129</v>
      </c>
      <c r="K43" s="46">
        <v>-487</v>
      </c>
      <c r="L43" s="46" t="s">
        <v>130</v>
      </c>
      <c r="M43" s="47" t="s">
        <v>66</v>
      </c>
      <c r="N43" s="47"/>
      <c r="O43" s="48" t="s">
        <v>79</v>
      </c>
      <c r="P43" s="48" t="s">
        <v>80</v>
      </c>
    </row>
    <row r="44" spans="1:16" ht="12.75" customHeight="1" thickBot="1">
      <c r="A44" s="10" t="str">
        <f t="shared" si="6"/>
        <v> AC 178.24 </v>
      </c>
      <c r="B44" s="5" t="str">
        <f t="shared" si="7"/>
        <v>I</v>
      </c>
      <c r="C44" s="10">
        <f t="shared" si="8"/>
        <v>32981.35</v>
      </c>
      <c r="D44" s="19" t="str">
        <f t="shared" si="9"/>
        <v>vis</v>
      </c>
      <c r="E44" s="45">
        <f>VLOOKUP(C44,Active!C$21:E$973,3,FALSE)</f>
        <v>-487.00897792598596</v>
      </c>
      <c r="F44" s="5" t="s">
        <v>61</v>
      </c>
      <c r="G44" s="19" t="str">
        <f t="shared" si="10"/>
        <v>32981.350</v>
      </c>
      <c r="H44" s="10">
        <f t="shared" si="11"/>
        <v>-487</v>
      </c>
      <c r="I44" s="46" t="s">
        <v>131</v>
      </c>
      <c r="J44" s="47" t="s">
        <v>132</v>
      </c>
      <c r="K44" s="46">
        <v>-487</v>
      </c>
      <c r="L44" s="46" t="s">
        <v>133</v>
      </c>
      <c r="M44" s="47" t="s">
        <v>66</v>
      </c>
      <c r="N44" s="47"/>
      <c r="O44" s="48" t="s">
        <v>79</v>
      </c>
      <c r="P44" s="48" t="s">
        <v>80</v>
      </c>
    </row>
    <row r="45" spans="1:16" ht="12.75" customHeight="1" thickBot="1">
      <c r="A45" s="10" t="str">
        <f t="shared" si="6"/>
        <v> AC 178.24 </v>
      </c>
      <c r="B45" s="5" t="str">
        <f t="shared" si="7"/>
        <v>I</v>
      </c>
      <c r="C45" s="10">
        <f t="shared" si="8"/>
        <v>32981.375</v>
      </c>
      <c r="D45" s="19" t="str">
        <f t="shared" si="9"/>
        <v>vis</v>
      </c>
      <c r="E45" s="45">
        <f>VLOOKUP(C45,Active!C$21:E$973,3,FALSE)</f>
        <v>-486.9999516189942</v>
      </c>
      <c r="F45" s="5" t="s">
        <v>61</v>
      </c>
      <c r="G45" s="19" t="str">
        <f t="shared" si="10"/>
        <v>32981.375</v>
      </c>
      <c r="H45" s="10">
        <f t="shared" si="11"/>
        <v>-487</v>
      </c>
      <c r="I45" s="46" t="s">
        <v>134</v>
      </c>
      <c r="J45" s="47" t="s">
        <v>135</v>
      </c>
      <c r="K45" s="46">
        <v>-487</v>
      </c>
      <c r="L45" s="46" t="s">
        <v>136</v>
      </c>
      <c r="M45" s="47" t="s">
        <v>66</v>
      </c>
      <c r="N45" s="47"/>
      <c r="O45" s="48" t="s">
        <v>79</v>
      </c>
      <c r="P45" s="48" t="s">
        <v>80</v>
      </c>
    </row>
    <row r="46" spans="1:16" ht="12.75" customHeight="1" thickBot="1">
      <c r="A46" s="10" t="str">
        <f t="shared" si="6"/>
        <v> AC 178.24 </v>
      </c>
      <c r="B46" s="5" t="str">
        <f t="shared" si="7"/>
        <v>I</v>
      </c>
      <c r="C46" s="10">
        <f t="shared" si="8"/>
        <v>33003.351999999999</v>
      </c>
      <c r="D46" s="19" t="str">
        <f t="shared" si="9"/>
        <v>vis</v>
      </c>
      <c r="E46" s="45">
        <f>VLOOKUP(C46,Active!C$21:E$973,3,FALSE)</f>
        <v>-479.06510566917075</v>
      </c>
      <c r="F46" s="5" t="s">
        <v>61</v>
      </c>
      <c r="G46" s="19" t="str">
        <f t="shared" si="10"/>
        <v>33003.352</v>
      </c>
      <c r="H46" s="10">
        <f t="shared" si="11"/>
        <v>-479</v>
      </c>
      <c r="I46" s="46" t="s">
        <v>137</v>
      </c>
      <c r="J46" s="47" t="s">
        <v>138</v>
      </c>
      <c r="K46" s="46">
        <v>-479</v>
      </c>
      <c r="L46" s="46" t="s">
        <v>139</v>
      </c>
      <c r="M46" s="47" t="s">
        <v>66</v>
      </c>
      <c r="N46" s="47"/>
      <c r="O46" s="48" t="s">
        <v>79</v>
      </c>
      <c r="P46" s="48" t="s">
        <v>80</v>
      </c>
    </row>
    <row r="47" spans="1:16" ht="12.75" customHeight="1" thickBot="1">
      <c r="A47" s="10" t="str">
        <f t="shared" si="6"/>
        <v> PZ 10.120 </v>
      </c>
      <c r="B47" s="5" t="str">
        <f t="shared" si="7"/>
        <v>I</v>
      </c>
      <c r="C47" s="10">
        <f t="shared" si="8"/>
        <v>33175.275000000001</v>
      </c>
      <c r="D47" s="19" t="str">
        <f t="shared" si="9"/>
        <v>vis</v>
      </c>
      <c r="E47" s="45">
        <f>VLOOKUP(C47,Active!C$21:E$973,3,FALSE)</f>
        <v>-416.99191459524872</v>
      </c>
      <c r="F47" s="5" t="s">
        <v>61</v>
      </c>
      <c r="G47" s="19" t="str">
        <f t="shared" si="10"/>
        <v>33175.275</v>
      </c>
      <c r="H47" s="10">
        <f t="shared" si="11"/>
        <v>-417</v>
      </c>
      <c r="I47" s="46" t="s">
        <v>140</v>
      </c>
      <c r="J47" s="47" t="s">
        <v>141</v>
      </c>
      <c r="K47" s="46">
        <v>-417</v>
      </c>
      <c r="L47" s="46" t="s">
        <v>142</v>
      </c>
      <c r="M47" s="47" t="s">
        <v>66</v>
      </c>
      <c r="N47" s="47"/>
      <c r="O47" s="48" t="s">
        <v>67</v>
      </c>
      <c r="P47" s="48" t="s">
        <v>72</v>
      </c>
    </row>
    <row r="48" spans="1:16" ht="12.75" customHeight="1" thickBot="1">
      <c r="A48" s="10" t="str">
        <f t="shared" si="6"/>
        <v> AC 178.24 </v>
      </c>
      <c r="B48" s="5" t="str">
        <f t="shared" si="7"/>
        <v>I</v>
      </c>
      <c r="C48" s="10">
        <f t="shared" si="8"/>
        <v>33355.396000000001</v>
      </c>
      <c r="D48" s="19" t="str">
        <f t="shared" si="9"/>
        <v>vis</v>
      </c>
      <c r="E48" s="45">
        <f>VLOOKUP(C48,Active!C$21:E$973,3,FALSE)</f>
        <v>-351.95881693277369</v>
      </c>
      <c r="F48" s="5" t="s">
        <v>61</v>
      </c>
      <c r="G48" s="19" t="str">
        <f t="shared" si="10"/>
        <v>33355.396</v>
      </c>
      <c r="H48" s="10">
        <f t="shared" si="11"/>
        <v>-352</v>
      </c>
      <c r="I48" s="46" t="s">
        <v>143</v>
      </c>
      <c r="J48" s="47" t="s">
        <v>144</v>
      </c>
      <c r="K48" s="46">
        <v>-352</v>
      </c>
      <c r="L48" s="46" t="s">
        <v>103</v>
      </c>
      <c r="M48" s="47" t="s">
        <v>66</v>
      </c>
      <c r="N48" s="47"/>
      <c r="O48" s="48" t="s">
        <v>79</v>
      </c>
      <c r="P48" s="48" t="s">
        <v>80</v>
      </c>
    </row>
    <row r="49" spans="1:16" ht="12.75" customHeight="1" thickBot="1">
      <c r="A49" s="10" t="str">
        <f t="shared" si="6"/>
        <v> AC 178.24 </v>
      </c>
      <c r="B49" s="5" t="str">
        <f t="shared" si="7"/>
        <v>I</v>
      </c>
      <c r="C49" s="10">
        <f t="shared" si="8"/>
        <v>33499.32</v>
      </c>
      <c r="D49" s="19" t="str">
        <f t="shared" si="9"/>
        <v>vis</v>
      </c>
      <c r="E49" s="45">
        <f>VLOOKUP(C49,Active!C$21:E$973,3,FALSE)</f>
        <v>-299.99472863671696</v>
      </c>
      <c r="F49" s="5" t="s">
        <v>61</v>
      </c>
      <c r="G49" s="19" t="str">
        <f t="shared" si="10"/>
        <v>33499.320</v>
      </c>
      <c r="H49" s="10">
        <f t="shared" si="11"/>
        <v>-300</v>
      </c>
      <c r="I49" s="46" t="s">
        <v>145</v>
      </c>
      <c r="J49" s="47" t="s">
        <v>146</v>
      </c>
      <c r="K49" s="46">
        <v>-300</v>
      </c>
      <c r="L49" s="46" t="s">
        <v>147</v>
      </c>
      <c r="M49" s="47" t="s">
        <v>66</v>
      </c>
      <c r="N49" s="47"/>
      <c r="O49" s="48" t="s">
        <v>79</v>
      </c>
      <c r="P49" s="48" t="s">
        <v>80</v>
      </c>
    </row>
    <row r="50" spans="1:16" ht="12.75" customHeight="1" thickBot="1">
      <c r="A50" s="10" t="str">
        <f t="shared" si="6"/>
        <v> TKZ 33.106 </v>
      </c>
      <c r="B50" s="5" t="str">
        <f t="shared" si="7"/>
        <v>I</v>
      </c>
      <c r="C50" s="10">
        <f t="shared" si="8"/>
        <v>33543.487999999998</v>
      </c>
      <c r="D50" s="19" t="str">
        <f t="shared" si="9"/>
        <v>vis</v>
      </c>
      <c r="E50" s="45">
        <f>VLOOKUP(C50,Active!C$21:E$973,3,FALSE)</f>
        <v>-284.04777154922533</v>
      </c>
      <c r="F50" s="5" t="s">
        <v>61</v>
      </c>
      <c r="G50" s="19" t="str">
        <f t="shared" si="10"/>
        <v>33543.488</v>
      </c>
      <c r="H50" s="10">
        <f t="shared" si="11"/>
        <v>-284</v>
      </c>
      <c r="I50" s="46" t="s">
        <v>148</v>
      </c>
      <c r="J50" s="47" t="s">
        <v>149</v>
      </c>
      <c r="K50" s="46">
        <v>-284</v>
      </c>
      <c r="L50" s="46" t="s">
        <v>150</v>
      </c>
      <c r="M50" s="47" t="s">
        <v>66</v>
      </c>
      <c r="N50" s="47"/>
      <c r="O50" s="48" t="s">
        <v>79</v>
      </c>
      <c r="P50" s="48" t="s">
        <v>151</v>
      </c>
    </row>
    <row r="51" spans="1:16" ht="12.75" customHeight="1" thickBot="1">
      <c r="A51" s="10" t="str">
        <f t="shared" si="6"/>
        <v> TKZ 33.106 </v>
      </c>
      <c r="B51" s="5" t="str">
        <f t="shared" si="7"/>
        <v>I</v>
      </c>
      <c r="C51" s="10">
        <f t="shared" si="8"/>
        <v>33543.527999999998</v>
      </c>
      <c r="D51" s="19" t="str">
        <f t="shared" si="9"/>
        <v>vis</v>
      </c>
      <c r="E51" s="45">
        <f>VLOOKUP(C51,Active!C$21:E$973,3,FALSE)</f>
        <v>-284.03332945803913</v>
      </c>
      <c r="F51" s="5" t="s">
        <v>61</v>
      </c>
      <c r="G51" s="19" t="str">
        <f t="shared" si="10"/>
        <v>33543.528</v>
      </c>
      <c r="H51" s="10">
        <f t="shared" si="11"/>
        <v>-284</v>
      </c>
      <c r="I51" s="46" t="s">
        <v>152</v>
      </c>
      <c r="J51" s="47" t="s">
        <v>153</v>
      </c>
      <c r="K51" s="46">
        <v>-284</v>
      </c>
      <c r="L51" s="46" t="s">
        <v>154</v>
      </c>
      <c r="M51" s="47" t="s">
        <v>66</v>
      </c>
      <c r="N51" s="47"/>
      <c r="O51" s="48" t="s">
        <v>79</v>
      </c>
      <c r="P51" s="48" t="s">
        <v>151</v>
      </c>
    </row>
    <row r="52" spans="1:16" ht="12.75" customHeight="1" thickBot="1">
      <c r="A52" s="10" t="str">
        <f t="shared" si="6"/>
        <v> TKZ 33.106 </v>
      </c>
      <c r="B52" s="5" t="str">
        <f t="shared" si="7"/>
        <v>I</v>
      </c>
      <c r="C52" s="10">
        <f t="shared" si="8"/>
        <v>33546.258999999998</v>
      </c>
      <c r="D52" s="19" t="str">
        <f t="shared" si="9"/>
        <v>vis</v>
      </c>
      <c r="E52" s="45">
        <f>VLOOKUP(C52,Active!C$21:E$973,3,FALSE)</f>
        <v>-283.04729568232057</v>
      </c>
      <c r="F52" s="5" t="s">
        <v>61</v>
      </c>
      <c r="G52" s="19" t="str">
        <f t="shared" si="10"/>
        <v>33546.259</v>
      </c>
      <c r="H52" s="10">
        <f t="shared" si="11"/>
        <v>-283</v>
      </c>
      <c r="I52" s="46" t="s">
        <v>155</v>
      </c>
      <c r="J52" s="47" t="s">
        <v>156</v>
      </c>
      <c r="K52" s="46">
        <v>-283</v>
      </c>
      <c r="L52" s="46" t="s">
        <v>157</v>
      </c>
      <c r="M52" s="47" t="s">
        <v>66</v>
      </c>
      <c r="N52" s="47"/>
      <c r="O52" s="48" t="s">
        <v>79</v>
      </c>
      <c r="P52" s="48" t="s">
        <v>151</v>
      </c>
    </row>
    <row r="53" spans="1:16" ht="12.75" customHeight="1" thickBot="1">
      <c r="A53" s="10" t="str">
        <f t="shared" si="6"/>
        <v> TKZ 33.106 </v>
      </c>
      <c r="B53" s="5" t="str">
        <f t="shared" si="7"/>
        <v>I</v>
      </c>
      <c r="C53" s="10">
        <f t="shared" si="8"/>
        <v>33546.347999999998</v>
      </c>
      <c r="D53" s="19" t="str">
        <f t="shared" si="9"/>
        <v>vis</v>
      </c>
      <c r="E53" s="45">
        <f>VLOOKUP(C53,Active!C$21:E$973,3,FALSE)</f>
        <v>-283.01516202943191</v>
      </c>
      <c r="F53" s="5" t="s">
        <v>61</v>
      </c>
      <c r="G53" s="19" t="str">
        <f t="shared" si="10"/>
        <v>33546.348</v>
      </c>
      <c r="H53" s="10">
        <f t="shared" si="11"/>
        <v>-283</v>
      </c>
      <c r="I53" s="46" t="s">
        <v>158</v>
      </c>
      <c r="J53" s="47" t="s">
        <v>159</v>
      </c>
      <c r="K53" s="46">
        <v>-283</v>
      </c>
      <c r="L53" s="46" t="s">
        <v>160</v>
      </c>
      <c r="M53" s="47" t="s">
        <v>66</v>
      </c>
      <c r="N53" s="47"/>
      <c r="O53" s="48" t="s">
        <v>79</v>
      </c>
      <c r="P53" s="48" t="s">
        <v>151</v>
      </c>
    </row>
    <row r="54" spans="1:16" ht="12.75" customHeight="1" thickBot="1">
      <c r="A54" s="10" t="str">
        <f t="shared" si="6"/>
        <v> TKZ 33.106 </v>
      </c>
      <c r="B54" s="5" t="str">
        <f t="shared" si="7"/>
        <v>I</v>
      </c>
      <c r="C54" s="10">
        <f t="shared" si="8"/>
        <v>33546.391000000003</v>
      </c>
      <c r="D54" s="19" t="str">
        <f t="shared" si="9"/>
        <v>vis</v>
      </c>
      <c r="E54" s="45">
        <f>VLOOKUP(C54,Active!C$21:E$973,3,FALSE)</f>
        <v>-282.99963678140517</v>
      </c>
      <c r="F54" s="5" t="s">
        <v>61</v>
      </c>
      <c r="G54" s="19" t="str">
        <f t="shared" si="10"/>
        <v>33546.391</v>
      </c>
      <c r="H54" s="10">
        <f t="shared" si="11"/>
        <v>-283</v>
      </c>
      <c r="I54" s="46" t="s">
        <v>161</v>
      </c>
      <c r="J54" s="47" t="s">
        <v>162</v>
      </c>
      <c r="K54" s="46">
        <v>-283</v>
      </c>
      <c r="L54" s="46" t="s">
        <v>163</v>
      </c>
      <c r="M54" s="47" t="s">
        <v>66</v>
      </c>
      <c r="N54" s="47"/>
      <c r="O54" s="48" t="s">
        <v>79</v>
      </c>
      <c r="P54" s="48" t="s">
        <v>151</v>
      </c>
    </row>
    <row r="55" spans="1:16" ht="12.75" customHeight="1" thickBot="1">
      <c r="A55" s="10" t="str">
        <f t="shared" si="6"/>
        <v> TKZ 33.106 </v>
      </c>
      <c r="B55" s="5" t="str">
        <f t="shared" si="7"/>
        <v>I</v>
      </c>
      <c r="C55" s="10">
        <f t="shared" si="8"/>
        <v>33568.366999999998</v>
      </c>
      <c r="D55" s="19" t="str">
        <f t="shared" si="9"/>
        <v>vis</v>
      </c>
      <c r="E55" s="45">
        <f>VLOOKUP(C55,Active!C$21:E$973,3,FALSE)</f>
        <v>-275.06515188386277</v>
      </c>
      <c r="F55" s="5" t="s">
        <v>61</v>
      </c>
      <c r="G55" s="19" t="str">
        <f t="shared" si="10"/>
        <v>33568.367</v>
      </c>
      <c r="H55" s="10">
        <f t="shared" si="11"/>
        <v>-275</v>
      </c>
      <c r="I55" s="46" t="s">
        <v>164</v>
      </c>
      <c r="J55" s="47" t="s">
        <v>165</v>
      </c>
      <c r="K55" s="46">
        <v>-275</v>
      </c>
      <c r="L55" s="46" t="s">
        <v>139</v>
      </c>
      <c r="M55" s="47" t="s">
        <v>66</v>
      </c>
      <c r="N55" s="47"/>
      <c r="O55" s="48" t="s">
        <v>79</v>
      </c>
      <c r="P55" s="48" t="s">
        <v>151</v>
      </c>
    </row>
    <row r="56" spans="1:16" ht="12.75" customHeight="1" thickBot="1">
      <c r="A56" s="10" t="str">
        <f t="shared" si="6"/>
        <v> PZ 10.120 </v>
      </c>
      <c r="B56" s="5" t="str">
        <f t="shared" si="7"/>
        <v>I</v>
      </c>
      <c r="C56" s="10">
        <f t="shared" si="8"/>
        <v>33892.421000000002</v>
      </c>
      <c r="D56" s="19" t="str">
        <f t="shared" si="9"/>
        <v>vis</v>
      </c>
      <c r="E56" s="45">
        <f>VLOOKUP(C56,Active!C$21:E$973,3,FALSE)</f>
        <v>-158.06471645481216</v>
      </c>
      <c r="F56" s="5" t="s">
        <v>61</v>
      </c>
      <c r="G56" s="19" t="str">
        <f t="shared" si="10"/>
        <v>33892.421</v>
      </c>
      <c r="H56" s="10">
        <f t="shared" si="11"/>
        <v>-158</v>
      </c>
      <c r="I56" s="46" t="s">
        <v>166</v>
      </c>
      <c r="J56" s="47" t="s">
        <v>167</v>
      </c>
      <c r="K56" s="46">
        <v>-158</v>
      </c>
      <c r="L56" s="46" t="s">
        <v>168</v>
      </c>
      <c r="M56" s="47" t="s">
        <v>66</v>
      </c>
      <c r="N56" s="47"/>
      <c r="O56" s="48" t="s">
        <v>67</v>
      </c>
      <c r="P56" s="48" t="s">
        <v>72</v>
      </c>
    </row>
    <row r="57" spans="1:16" ht="12.75" customHeight="1" thickBot="1">
      <c r="A57" s="10" t="str">
        <f t="shared" si="6"/>
        <v> TKZ 33.106 </v>
      </c>
      <c r="B57" s="5" t="str">
        <f t="shared" si="7"/>
        <v>I</v>
      </c>
      <c r="C57" s="10">
        <f t="shared" si="8"/>
        <v>33892.455000000002</v>
      </c>
      <c r="D57" s="19" t="str">
        <f t="shared" si="9"/>
        <v>vis</v>
      </c>
      <c r="E57" s="45">
        <f>VLOOKUP(C57,Active!C$21:E$973,3,FALSE)</f>
        <v>-158.05244067730425</v>
      </c>
      <c r="F57" s="5" t="s">
        <v>61</v>
      </c>
      <c r="G57" s="19" t="str">
        <f t="shared" si="10"/>
        <v>33892.455</v>
      </c>
      <c r="H57" s="10">
        <f t="shared" si="11"/>
        <v>-158</v>
      </c>
      <c r="I57" s="46" t="s">
        <v>169</v>
      </c>
      <c r="J57" s="47" t="s">
        <v>170</v>
      </c>
      <c r="K57" s="46">
        <v>-158</v>
      </c>
      <c r="L57" s="46" t="s">
        <v>171</v>
      </c>
      <c r="M57" s="47" t="s">
        <v>66</v>
      </c>
      <c r="N57" s="47"/>
      <c r="O57" s="48" t="s">
        <v>79</v>
      </c>
      <c r="P57" s="48" t="s">
        <v>151</v>
      </c>
    </row>
    <row r="58" spans="1:16" ht="12.75" customHeight="1" thickBot="1">
      <c r="A58" s="10" t="str">
        <f t="shared" si="6"/>
        <v> PZ 10.120 </v>
      </c>
      <c r="B58" s="5" t="str">
        <f t="shared" si="7"/>
        <v>I</v>
      </c>
      <c r="C58" s="10">
        <f t="shared" si="8"/>
        <v>33895.373</v>
      </c>
      <c r="D58" s="19" t="str">
        <f t="shared" si="9"/>
        <v>vis</v>
      </c>
      <c r="E58" s="45">
        <f>VLOOKUP(C58,Active!C$21:E$973,3,FALSE)</f>
        <v>-156.99889012529221</v>
      </c>
      <c r="F58" s="5" t="s">
        <v>61</v>
      </c>
      <c r="G58" s="19" t="str">
        <f t="shared" si="10"/>
        <v>33895.373</v>
      </c>
      <c r="H58" s="10">
        <f t="shared" si="11"/>
        <v>-157</v>
      </c>
      <c r="I58" s="46" t="s">
        <v>172</v>
      </c>
      <c r="J58" s="47" t="s">
        <v>173</v>
      </c>
      <c r="K58" s="46">
        <v>-157</v>
      </c>
      <c r="L58" s="46" t="s">
        <v>174</v>
      </c>
      <c r="M58" s="47" t="s">
        <v>66</v>
      </c>
      <c r="N58" s="47"/>
      <c r="O58" s="48" t="s">
        <v>67</v>
      </c>
      <c r="P58" s="48" t="s">
        <v>72</v>
      </c>
    </row>
    <row r="59" spans="1:16" ht="12.75" customHeight="1" thickBot="1">
      <c r="A59" s="10" t="str">
        <f t="shared" si="6"/>
        <v> PZ 10.120 </v>
      </c>
      <c r="B59" s="5" t="str">
        <f t="shared" si="7"/>
        <v>I</v>
      </c>
      <c r="C59" s="10">
        <f t="shared" si="8"/>
        <v>34330.211000000003</v>
      </c>
      <c r="D59" s="19" t="str">
        <f t="shared" si="9"/>
        <v>vis</v>
      </c>
      <c r="E59" s="45">
        <f>VLOOKUP(C59,Active!C$21:E$973,3,FALSE)</f>
        <v>3.6105228103504506E-4</v>
      </c>
      <c r="F59" s="5" t="s">
        <v>61</v>
      </c>
      <c r="G59" s="19" t="str">
        <f t="shared" si="10"/>
        <v>34330.211</v>
      </c>
      <c r="H59" s="10">
        <f t="shared" si="11"/>
        <v>0</v>
      </c>
      <c r="I59" s="46" t="s">
        <v>175</v>
      </c>
      <c r="J59" s="47" t="s">
        <v>176</v>
      </c>
      <c r="K59" s="46">
        <v>0</v>
      </c>
      <c r="L59" s="46" t="s">
        <v>163</v>
      </c>
      <c r="M59" s="47" t="s">
        <v>66</v>
      </c>
      <c r="N59" s="47"/>
      <c r="O59" s="48" t="s">
        <v>67</v>
      </c>
      <c r="P59" s="48" t="s">
        <v>72</v>
      </c>
    </row>
    <row r="60" spans="1:16" ht="12.75" customHeight="1" thickBot="1">
      <c r="A60" s="10" t="str">
        <f t="shared" si="6"/>
        <v> PZ 11.470 </v>
      </c>
      <c r="B60" s="5" t="str">
        <f t="shared" si="7"/>
        <v>I</v>
      </c>
      <c r="C60" s="10">
        <f t="shared" si="8"/>
        <v>34330.25</v>
      </c>
      <c r="D60" s="19" t="str">
        <f t="shared" si="9"/>
        <v>vis</v>
      </c>
      <c r="E60" s="45">
        <f>VLOOKUP(C60,Active!C$21:E$973,3,FALSE)</f>
        <v>1.4442091186234778E-2</v>
      </c>
      <c r="F60" s="5" t="s">
        <v>61</v>
      </c>
      <c r="G60" s="19" t="str">
        <f t="shared" si="10"/>
        <v>34330.250</v>
      </c>
      <c r="H60" s="10">
        <f t="shared" si="11"/>
        <v>0</v>
      </c>
      <c r="I60" s="46" t="s">
        <v>177</v>
      </c>
      <c r="J60" s="47" t="s">
        <v>178</v>
      </c>
      <c r="K60" s="46">
        <v>0</v>
      </c>
      <c r="L60" s="46" t="s">
        <v>179</v>
      </c>
      <c r="M60" s="47" t="s">
        <v>66</v>
      </c>
      <c r="N60" s="47"/>
      <c r="O60" s="48" t="s">
        <v>67</v>
      </c>
      <c r="P60" s="48" t="s">
        <v>68</v>
      </c>
    </row>
    <row r="61" spans="1:16" ht="12.75" customHeight="1" thickBot="1">
      <c r="A61" s="10" t="str">
        <f t="shared" si="6"/>
        <v> PZ 11.470 </v>
      </c>
      <c r="B61" s="5" t="str">
        <f t="shared" si="7"/>
        <v>I</v>
      </c>
      <c r="C61" s="10">
        <f t="shared" si="8"/>
        <v>34330.279000000002</v>
      </c>
      <c r="D61" s="19" t="str">
        <f t="shared" si="9"/>
        <v>vis</v>
      </c>
      <c r="E61" s="45">
        <f>VLOOKUP(C61,Active!C$21:E$973,3,FALSE)</f>
        <v>2.4912607296846068E-2</v>
      </c>
      <c r="F61" s="5" t="s">
        <v>61</v>
      </c>
      <c r="G61" s="19" t="str">
        <f t="shared" si="10"/>
        <v>34330.279</v>
      </c>
      <c r="H61" s="10">
        <f t="shared" si="11"/>
        <v>0</v>
      </c>
      <c r="I61" s="46" t="s">
        <v>180</v>
      </c>
      <c r="J61" s="47" t="s">
        <v>181</v>
      </c>
      <c r="K61" s="46">
        <v>0</v>
      </c>
      <c r="L61" s="46" t="s">
        <v>182</v>
      </c>
      <c r="M61" s="47" t="s">
        <v>66</v>
      </c>
      <c r="N61" s="47"/>
      <c r="O61" s="48" t="s">
        <v>67</v>
      </c>
      <c r="P61" s="48" t="s">
        <v>68</v>
      </c>
    </row>
    <row r="62" spans="1:16" ht="12.75" customHeight="1" thickBot="1">
      <c r="A62" s="10" t="str">
        <f t="shared" si="6"/>
        <v> PZ 11.470 </v>
      </c>
      <c r="B62" s="5" t="str">
        <f t="shared" si="7"/>
        <v>I</v>
      </c>
      <c r="C62" s="10">
        <f t="shared" si="8"/>
        <v>34330.326000000001</v>
      </c>
      <c r="D62" s="19" t="str">
        <f t="shared" si="9"/>
        <v>vis</v>
      </c>
      <c r="E62" s="45">
        <f>VLOOKUP(C62,Active!C$21:E$973,3,FALSE)</f>
        <v>4.1882064439818158E-2</v>
      </c>
      <c r="F62" s="5" t="s">
        <v>61</v>
      </c>
      <c r="G62" s="19" t="str">
        <f t="shared" si="10"/>
        <v>34330.326</v>
      </c>
      <c r="H62" s="10">
        <f t="shared" si="11"/>
        <v>0</v>
      </c>
      <c r="I62" s="46" t="s">
        <v>183</v>
      </c>
      <c r="J62" s="47" t="s">
        <v>184</v>
      </c>
      <c r="K62" s="46">
        <v>0</v>
      </c>
      <c r="L62" s="46" t="s">
        <v>185</v>
      </c>
      <c r="M62" s="47" t="s">
        <v>66</v>
      </c>
      <c r="N62" s="47"/>
      <c r="O62" s="48" t="s">
        <v>67</v>
      </c>
      <c r="P62" s="48" t="s">
        <v>68</v>
      </c>
    </row>
    <row r="63" spans="1:16" ht="12.75" customHeight="1" thickBot="1">
      <c r="A63" s="10" t="str">
        <f t="shared" si="6"/>
        <v> PZ 10.120 </v>
      </c>
      <c r="B63" s="5" t="str">
        <f t="shared" si="7"/>
        <v>I</v>
      </c>
      <c r="C63" s="10">
        <f t="shared" si="8"/>
        <v>34457.447999999997</v>
      </c>
      <c r="D63" s="19" t="str">
        <f t="shared" si="9"/>
        <v>vis</v>
      </c>
      <c r="E63" s="45">
        <f>VLOOKUP(C63,Active!C$21:E$973,3,FALSE)</f>
        <v>45.939569957849876</v>
      </c>
      <c r="F63" s="5" t="s">
        <v>61</v>
      </c>
      <c r="G63" s="19" t="str">
        <f t="shared" si="10"/>
        <v>34457.448</v>
      </c>
      <c r="H63" s="10">
        <f t="shared" si="11"/>
        <v>46</v>
      </c>
      <c r="I63" s="46" t="s">
        <v>186</v>
      </c>
      <c r="J63" s="47" t="s">
        <v>187</v>
      </c>
      <c r="K63" s="46">
        <v>46</v>
      </c>
      <c r="L63" s="46" t="s">
        <v>188</v>
      </c>
      <c r="M63" s="47" t="s">
        <v>66</v>
      </c>
      <c r="N63" s="47"/>
      <c r="O63" s="48" t="s">
        <v>67</v>
      </c>
      <c r="P63" s="48" t="s">
        <v>72</v>
      </c>
    </row>
    <row r="64" spans="1:16" ht="12.75" customHeight="1" thickBot="1">
      <c r="A64" s="10" t="str">
        <f t="shared" si="6"/>
        <v> PZ 10.120 </v>
      </c>
      <c r="B64" s="5" t="str">
        <f t="shared" si="7"/>
        <v>I</v>
      </c>
      <c r="C64" s="10">
        <f t="shared" si="8"/>
        <v>34457.478000000003</v>
      </c>
      <c r="D64" s="19" t="str">
        <f t="shared" si="9"/>
        <v>vis</v>
      </c>
      <c r="E64" s="45">
        <f>VLOOKUP(C64,Active!C$21:E$973,3,FALSE)</f>
        <v>45.950401526241521</v>
      </c>
      <c r="F64" s="5" t="s">
        <v>61</v>
      </c>
      <c r="G64" s="19" t="str">
        <f t="shared" si="10"/>
        <v>34457.478</v>
      </c>
      <c r="H64" s="10">
        <f t="shared" si="11"/>
        <v>46</v>
      </c>
      <c r="I64" s="46" t="s">
        <v>189</v>
      </c>
      <c r="J64" s="47" t="s">
        <v>190</v>
      </c>
      <c r="K64" s="46">
        <v>46</v>
      </c>
      <c r="L64" s="46" t="s">
        <v>191</v>
      </c>
      <c r="M64" s="47" t="s">
        <v>66</v>
      </c>
      <c r="N64" s="47"/>
      <c r="O64" s="48" t="s">
        <v>67</v>
      </c>
      <c r="P64" s="48" t="s">
        <v>72</v>
      </c>
    </row>
    <row r="65" spans="1:16" ht="12.75" customHeight="1" thickBot="1">
      <c r="A65" s="10" t="str">
        <f t="shared" si="6"/>
        <v> BBS 62 </v>
      </c>
      <c r="B65" s="5" t="str">
        <f t="shared" si="7"/>
        <v>I</v>
      </c>
      <c r="C65" s="10">
        <f t="shared" si="8"/>
        <v>45189.381999999998</v>
      </c>
      <c r="D65" s="19" t="str">
        <f t="shared" si="9"/>
        <v>vis</v>
      </c>
      <c r="E65" s="45">
        <f>VLOOKUP(C65,Active!C$21:E$973,3,FALSE)</f>
        <v>3920.7288056896059</v>
      </c>
      <c r="F65" s="5" t="s">
        <v>61</v>
      </c>
      <c r="G65" s="19" t="str">
        <f t="shared" si="10"/>
        <v>45189.382</v>
      </c>
      <c r="H65" s="10">
        <f t="shared" si="11"/>
        <v>3925</v>
      </c>
      <c r="I65" s="46" t="s">
        <v>203</v>
      </c>
      <c r="J65" s="47" t="s">
        <v>204</v>
      </c>
      <c r="K65" s="46">
        <v>3925</v>
      </c>
      <c r="L65" s="46" t="s">
        <v>205</v>
      </c>
      <c r="M65" s="47" t="s">
        <v>195</v>
      </c>
      <c r="N65" s="47"/>
      <c r="O65" s="48" t="s">
        <v>201</v>
      </c>
      <c r="P65" s="48" t="s">
        <v>206</v>
      </c>
    </row>
    <row r="66" spans="1:16" ht="12.75" customHeight="1" thickBot="1">
      <c r="A66" s="10" t="str">
        <f t="shared" si="6"/>
        <v> BRNO 30 </v>
      </c>
      <c r="B66" s="5" t="str">
        <f t="shared" si="7"/>
        <v>I</v>
      </c>
      <c r="C66" s="10">
        <f t="shared" si="8"/>
        <v>47095.574999999997</v>
      </c>
      <c r="D66" s="19" t="str">
        <f t="shared" si="9"/>
        <v>vis</v>
      </c>
      <c r="E66" s="45">
        <f>VLOOKUP(C66,Active!C$21:E$973,3,FALSE)</f>
        <v>4608.9641337886433</v>
      </c>
      <c r="F66" s="5" t="s">
        <v>61</v>
      </c>
      <c r="G66" s="19" t="str">
        <f t="shared" si="10"/>
        <v>47095.575</v>
      </c>
      <c r="H66" s="10">
        <f t="shared" si="11"/>
        <v>4613</v>
      </c>
      <c r="I66" s="46" t="s">
        <v>219</v>
      </c>
      <c r="J66" s="47" t="s">
        <v>220</v>
      </c>
      <c r="K66" s="46">
        <v>4613</v>
      </c>
      <c r="L66" s="46" t="s">
        <v>221</v>
      </c>
      <c r="M66" s="47" t="s">
        <v>195</v>
      </c>
      <c r="N66" s="47"/>
      <c r="O66" s="48" t="s">
        <v>222</v>
      </c>
      <c r="P66" s="48" t="s">
        <v>223</v>
      </c>
    </row>
    <row r="67" spans="1:16" ht="12.75" customHeight="1" thickBot="1">
      <c r="A67" s="10" t="str">
        <f t="shared" si="6"/>
        <v> BRNO 31 </v>
      </c>
      <c r="B67" s="5" t="str">
        <f t="shared" si="7"/>
        <v>I</v>
      </c>
      <c r="C67" s="10">
        <f t="shared" si="8"/>
        <v>48131.442999999999</v>
      </c>
      <c r="D67" s="19" t="str">
        <f t="shared" si="9"/>
        <v>vis</v>
      </c>
      <c r="E67" s="45">
        <f>VLOOKUP(C67,Active!C$21:E$973,3,FALSE)</f>
        <v>4982.9666366030469</v>
      </c>
      <c r="F67" s="5" t="s">
        <v>61</v>
      </c>
      <c r="G67" s="19" t="str">
        <f t="shared" si="10"/>
        <v>48131.443</v>
      </c>
      <c r="H67" s="10">
        <f t="shared" si="11"/>
        <v>4987</v>
      </c>
      <c r="I67" s="46" t="s">
        <v>224</v>
      </c>
      <c r="J67" s="47" t="s">
        <v>225</v>
      </c>
      <c r="K67" s="46">
        <v>4987</v>
      </c>
      <c r="L67" s="46" t="s">
        <v>226</v>
      </c>
      <c r="M67" s="47" t="s">
        <v>195</v>
      </c>
      <c r="N67" s="47"/>
      <c r="O67" s="48" t="s">
        <v>227</v>
      </c>
      <c r="P67" s="48" t="s">
        <v>228</v>
      </c>
    </row>
    <row r="68" spans="1:16" ht="12.75" customHeight="1" thickBot="1">
      <c r="A68" s="10" t="str">
        <f t="shared" si="6"/>
        <v> BBS 123 </v>
      </c>
      <c r="B68" s="5" t="str">
        <f t="shared" si="7"/>
        <v>I</v>
      </c>
      <c r="C68" s="10">
        <f t="shared" si="8"/>
        <v>50798.616999999998</v>
      </c>
      <c r="D68" s="19" t="str">
        <f t="shared" si="9"/>
        <v>vis</v>
      </c>
      <c r="E68" s="45">
        <f>VLOOKUP(C68,Active!C$21:E$973,3,FALSE)</f>
        <v>5945.9558895208902</v>
      </c>
      <c r="F68" s="5" t="s">
        <v>61</v>
      </c>
      <c r="G68" s="19" t="str">
        <f t="shared" si="10"/>
        <v>50798.617</v>
      </c>
      <c r="H68" s="10">
        <f t="shared" si="11"/>
        <v>5950</v>
      </c>
      <c r="I68" s="46" t="s">
        <v>235</v>
      </c>
      <c r="J68" s="47" t="s">
        <v>236</v>
      </c>
      <c r="K68" s="46">
        <v>5950</v>
      </c>
      <c r="L68" s="46" t="s">
        <v>237</v>
      </c>
      <c r="M68" s="47" t="s">
        <v>232</v>
      </c>
      <c r="N68" s="47" t="s">
        <v>233</v>
      </c>
      <c r="O68" s="48" t="s">
        <v>238</v>
      </c>
      <c r="P68" s="48" t="s">
        <v>239</v>
      </c>
    </row>
    <row r="69" spans="1:16" ht="12.75" customHeight="1" thickBot="1">
      <c r="A69" s="10" t="str">
        <f t="shared" si="6"/>
        <v> BBS 123 </v>
      </c>
      <c r="B69" s="5" t="str">
        <f t="shared" si="7"/>
        <v>I</v>
      </c>
      <c r="C69" s="10">
        <f t="shared" si="8"/>
        <v>50809.684000000001</v>
      </c>
      <c r="D69" s="19" t="str">
        <f t="shared" si="9"/>
        <v>vis</v>
      </c>
      <c r="E69" s="45">
        <f>VLOOKUP(C69,Active!C$21:E$973,3,FALSE)</f>
        <v>5949.951655099756</v>
      </c>
      <c r="F69" s="5" t="s">
        <v>61</v>
      </c>
      <c r="G69" s="19" t="str">
        <f t="shared" si="10"/>
        <v>50809.684</v>
      </c>
      <c r="H69" s="10">
        <f t="shared" si="11"/>
        <v>5954</v>
      </c>
      <c r="I69" s="46" t="s">
        <v>240</v>
      </c>
      <c r="J69" s="47" t="s">
        <v>241</v>
      </c>
      <c r="K69" s="46">
        <v>5954</v>
      </c>
      <c r="L69" s="46" t="s">
        <v>242</v>
      </c>
      <c r="M69" s="47" t="s">
        <v>232</v>
      </c>
      <c r="N69" s="47" t="s">
        <v>233</v>
      </c>
      <c r="O69" s="48" t="s">
        <v>238</v>
      </c>
      <c r="P69" s="48" t="s">
        <v>239</v>
      </c>
    </row>
    <row r="70" spans="1:16" ht="12.75" customHeight="1" thickBot="1">
      <c r="A70" s="10" t="str">
        <f t="shared" si="6"/>
        <v> BBS 123 </v>
      </c>
      <c r="B70" s="5" t="str">
        <f t="shared" si="7"/>
        <v>I</v>
      </c>
      <c r="C70" s="10">
        <f t="shared" si="8"/>
        <v>51039.584000000003</v>
      </c>
      <c r="D70" s="19" t="str">
        <f t="shared" si="9"/>
        <v>vis</v>
      </c>
      <c r="E70" s="45">
        <f>VLOOKUP(C70,Active!C$21:E$973,3,FALSE)</f>
        <v>6032.9575741908293</v>
      </c>
      <c r="F70" s="5" t="s">
        <v>61</v>
      </c>
      <c r="G70" s="19" t="str">
        <f t="shared" si="10"/>
        <v>51039.584</v>
      </c>
      <c r="H70" s="10">
        <f t="shared" si="11"/>
        <v>6037</v>
      </c>
      <c r="I70" s="46" t="s">
        <v>243</v>
      </c>
      <c r="J70" s="47" t="s">
        <v>244</v>
      </c>
      <c r="K70" s="46">
        <v>6037</v>
      </c>
      <c r="L70" s="46" t="s">
        <v>245</v>
      </c>
      <c r="M70" s="47" t="s">
        <v>232</v>
      </c>
      <c r="N70" s="47" t="s">
        <v>233</v>
      </c>
      <c r="O70" s="48" t="s">
        <v>238</v>
      </c>
      <c r="P70" s="48" t="s">
        <v>239</v>
      </c>
    </row>
    <row r="71" spans="1:16" ht="12.75" customHeight="1" thickBot="1">
      <c r="A71" s="10" t="str">
        <f t="shared" si="6"/>
        <v> BBS 123 </v>
      </c>
      <c r="B71" s="5" t="str">
        <f t="shared" si="7"/>
        <v>I</v>
      </c>
      <c r="C71" s="10">
        <f t="shared" si="8"/>
        <v>51086.66</v>
      </c>
      <c r="D71" s="19" t="str">
        <f t="shared" si="9"/>
        <v>vis</v>
      </c>
      <c r="E71" s="45">
        <f>VLOOKUP(C71,Active!C$21:E$973,3,FALSE)</f>
        <v>6049.9544713075384</v>
      </c>
      <c r="F71" s="5" t="s">
        <v>61</v>
      </c>
      <c r="G71" s="19" t="str">
        <f t="shared" si="10"/>
        <v>51086.660</v>
      </c>
      <c r="H71" s="10">
        <f t="shared" si="11"/>
        <v>6054</v>
      </c>
      <c r="I71" s="46" t="s">
        <v>246</v>
      </c>
      <c r="J71" s="47" t="s">
        <v>247</v>
      </c>
      <c r="K71" s="46">
        <v>6054</v>
      </c>
      <c r="L71" s="46" t="s">
        <v>248</v>
      </c>
      <c r="M71" s="47" t="s">
        <v>232</v>
      </c>
      <c r="N71" s="47" t="s">
        <v>233</v>
      </c>
      <c r="O71" s="48" t="s">
        <v>238</v>
      </c>
      <c r="P71" s="48" t="s">
        <v>239</v>
      </c>
    </row>
    <row r="72" spans="1:16" ht="12.75" customHeight="1" thickBot="1">
      <c r="A72" s="10" t="str">
        <f t="shared" si="6"/>
        <v> BBS 123 </v>
      </c>
      <c r="B72" s="5" t="str">
        <f t="shared" si="7"/>
        <v>I</v>
      </c>
      <c r="C72" s="10">
        <f t="shared" si="8"/>
        <v>51111.597999999998</v>
      </c>
      <c r="D72" s="19" t="str">
        <f t="shared" si="9"/>
        <v>vis</v>
      </c>
      <c r="E72" s="45">
        <f>VLOOKUP(C72,Active!C$21:E$973,3,FALSE)</f>
        <v>6058.9583930573972</v>
      </c>
      <c r="F72" s="5" t="s">
        <v>61</v>
      </c>
      <c r="G72" s="19" t="str">
        <f t="shared" si="10"/>
        <v>51111.598</v>
      </c>
      <c r="H72" s="10">
        <f t="shared" si="11"/>
        <v>6063</v>
      </c>
      <c r="I72" s="46" t="s">
        <v>249</v>
      </c>
      <c r="J72" s="47" t="s">
        <v>250</v>
      </c>
      <c r="K72" s="46">
        <v>6063</v>
      </c>
      <c r="L72" s="46" t="s">
        <v>251</v>
      </c>
      <c r="M72" s="47" t="s">
        <v>232</v>
      </c>
      <c r="N72" s="47" t="s">
        <v>233</v>
      </c>
      <c r="O72" s="48" t="s">
        <v>238</v>
      </c>
      <c r="P72" s="48" t="s">
        <v>239</v>
      </c>
    </row>
    <row r="73" spans="1:16" ht="12.75" customHeight="1" thickBot="1">
      <c r="A73" s="10" t="str">
        <f t="shared" si="6"/>
        <v> BBS 123 </v>
      </c>
      <c r="B73" s="5" t="str">
        <f t="shared" si="7"/>
        <v>I</v>
      </c>
      <c r="C73" s="10">
        <f t="shared" si="8"/>
        <v>51399.629000000001</v>
      </c>
      <c r="D73" s="19" t="str">
        <f t="shared" si="9"/>
        <v>vis</v>
      </c>
      <c r="E73" s="45">
        <f>VLOOKUP(C73,Active!C$21:E$973,3,FALSE)</f>
        <v>6162.9526422166882</v>
      </c>
      <c r="F73" s="5" t="s">
        <v>61</v>
      </c>
      <c r="G73" s="19" t="str">
        <f t="shared" si="10"/>
        <v>51399.629</v>
      </c>
      <c r="H73" s="10">
        <f t="shared" si="11"/>
        <v>6167</v>
      </c>
      <c r="I73" s="46" t="s">
        <v>252</v>
      </c>
      <c r="J73" s="47" t="s">
        <v>253</v>
      </c>
      <c r="K73" s="46">
        <v>6167</v>
      </c>
      <c r="L73" s="46" t="s">
        <v>254</v>
      </c>
      <c r="M73" s="47" t="s">
        <v>232</v>
      </c>
      <c r="N73" s="47" t="s">
        <v>233</v>
      </c>
      <c r="O73" s="48" t="s">
        <v>238</v>
      </c>
      <c r="P73" s="48" t="s">
        <v>239</v>
      </c>
    </row>
    <row r="74" spans="1:16" ht="12.75" customHeight="1" thickBot="1">
      <c r="A74" s="10" t="str">
        <f t="shared" si="6"/>
        <v> BBS 123 </v>
      </c>
      <c r="B74" s="5" t="str">
        <f t="shared" si="7"/>
        <v>I</v>
      </c>
      <c r="C74" s="10">
        <f t="shared" si="8"/>
        <v>51410.701000000001</v>
      </c>
      <c r="D74" s="19" t="str">
        <f t="shared" si="9"/>
        <v>vis</v>
      </c>
      <c r="E74" s="45">
        <f>VLOOKUP(C74,Active!C$21:E$973,3,FALSE)</f>
        <v>6166.9502130569508</v>
      </c>
      <c r="F74" s="5" t="s">
        <v>61</v>
      </c>
      <c r="G74" s="19" t="str">
        <f t="shared" si="10"/>
        <v>51410.701</v>
      </c>
      <c r="H74" s="10">
        <f t="shared" si="11"/>
        <v>6171</v>
      </c>
      <c r="I74" s="46" t="s">
        <v>255</v>
      </c>
      <c r="J74" s="47" t="s">
        <v>256</v>
      </c>
      <c r="K74" s="46">
        <v>6171</v>
      </c>
      <c r="L74" s="46" t="s">
        <v>257</v>
      </c>
      <c r="M74" s="47" t="s">
        <v>232</v>
      </c>
      <c r="N74" s="47" t="s">
        <v>233</v>
      </c>
      <c r="O74" s="48" t="s">
        <v>238</v>
      </c>
      <c r="P74" s="48" t="s">
        <v>239</v>
      </c>
    </row>
    <row r="75" spans="1:16" ht="12.75" customHeight="1" thickBot="1">
      <c r="A75" s="10" t="str">
        <f t="shared" si="6"/>
        <v>BAVM 4-5 </v>
      </c>
      <c r="B75" s="5" t="str">
        <f t="shared" si="7"/>
        <v>I</v>
      </c>
      <c r="C75" s="10">
        <f t="shared" si="8"/>
        <v>53219.361299999997</v>
      </c>
      <c r="D75" s="19" t="str">
        <f t="shared" si="9"/>
        <v>vis</v>
      </c>
      <c r="E75" s="45">
        <f>VLOOKUP(C75,Active!C$21:E$973,3,FALSE)</f>
        <v>6819.9711374807639</v>
      </c>
      <c r="F75" s="5" t="s">
        <v>61</v>
      </c>
      <c r="G75" s="19" t="str">
        <f t="shared" si="10"/>
        <v>53219.3613</v>
      </c>
      <c r="H75" s="10">
        <f t="shared" si="11"/>
        <v>6824</v>
      </c>
      <c r="I75" s="46" t="s">
        <v>276</v>
      </c>
      <c r="J75" s="47" t="s">
        <v>277</v>
      </c>
      <c r="K75" s="46">
        <v>6824</v>
      </c>
      <c r="L75" s="46" t="s">
        <v>278</v>
      </c>
      <c r="M75" s="47" t="s">
        <v>232</v>
      </c>
      <c r="N75" s="47" t="s">
        <v>267</v>
      </c>
      <c r="O75" s="48" t="s">
        <v>279</v>
      </c>
      <c r="P75" s="49" t="s">
        <v>280</v>
      </c>
    </row>
    <row r="76" spans="1:16">
      <c r="B76" s="5"/>
      <c r="F76" s="5"/>
    </row>
    <row r="77" spans="1:16">
      <c r="B77" s="5"/>
      <c r="F77" s="5"/>
    </row>
    <row r="78" spans="1:16">
      <c r="B78" s="5"/>
      <c r="F78" s="5"/>
    </row>
    <row r="79" spans="1:16">
      <c r="B79" s="5"/>
      <c r="F79" s="5"/>
    </row>
    <row r="80" spans="1:1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</sheetData>
  <phoneticPr fontId="7" type="noConversion"/>
  <hyperlinks>
    <hyperlink ref="A3" r:id="rId1"/>
    <hyperlink ref="P17" r:id="rId2" display="http://www.konkoly.hu/cgi-bin/IBVS?5263"/>
    <hyperlink ref="P18" r:id="rId3" display="http://var.astro.cz/oejv/issues/oejv0074.pdf"/>
    <hyperlink ref="P19" r:id="rId4" display="http://var.astro.cz/oejv/issues/oejv0074.pdf"/>
    <hyperlink ref="P20" r:id="rId5" display="http://var.astro.cz/oejv/issues/oejv0074.pdf"/>
    <hyperlink ref="P75" r:id="rId6" display="http://www.bav-astro.de/sfs/BAVM_link.php?BAVMnr=4-5"/>
    <hyperlink ref="P21" r:id="rId7" display="http://www.konkoly.hu/cgi-bin/IBVS?5741"/>
    <hyperlink ref="P23" r:id="rId8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2024-01-19T04:56:08Z</dcterms:modified>
</cp:coreProperties>
</file>