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151569F-85E5-41A9-AE7A-A1CFD507AF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4" i="1" l="1"/>
  <c r="D9" i="1"/>
  <c r="C9" i="1"/>
  <c r="Q31" i="1"/>
  <c r="Q30" i="1"/>
  <c r="Q28" i="1"/>
  <c r="Q26" i="1"/>
  <c r="Q23" i="1"/>
  <c r="G22" i="2"/>
  <c r="C22" i="2"/>
  <c r="G16" i="2"/>
  <c r="C16" i="2"/>
  <c r="G15" i="2"/>
  <c r="C15" i="2"/>
  <c r="G21" i="2"/>
  <c r="C21" i="2"/>
  <c r="G20" i="2"/>
  <c r="C20" i="2"/>
  <c r="G14" i="2"/>
  <c r="C14" i="2"/>
  <c r="G19" i="2"/>
  <c r="C19" i="2"/>
  <c r="G18" i="2"/>
  <c r="C18" i="2"/>
  <c r="G13" i="2"/>
  <c r="C13" i="2"/>
  <c r="G17" i="2"/>
  <c r="C17" i="2"/>
  <c r="G12" i="2"/>
  <c r="C12" i="2"/>
  <c r="G11" i="2"/>
  <c r="C11" i="2"/>
  <c r="E11" i="2"/>
  <c r="H22" i="2"/>
  <c r="D22" i="2"/>
  <c r="B22" i="2"/>
  <c r="A22" i="2"/>
  <c r="H16" i="2"/>
  <c r="D16" i="2"/>
  <c r="B16" i="2"/>
  <c r="A16" i="2"/>
  <c r="H15" i="2"/>
  <c r="D15" i="2"/>
  <c r="B15" i="2"/>
  <c r="A15" i="2"/>
  <c r="H21" i="2"/>
  <c r="D21" i="2"/>
  <c r="B21" i="2"/>
  <c r="A21" i="2"/>
  <c r="H20" i="2"/>
  <c r="D20" i="2"/>
  <c r="B20" i="2"/>
  <c r="A20" i="2"/>
  <c r="H14" i="2"/>
  <c r="D14" i="2"/>
  <c r="B14" i="2"/>
  <c r="A14" i="2"/>
  <c r="H19" i="2"/>
  <c r="D19" i="2"/>
  <c r="B19" i="2"/>
  <c r="A19" i="2"/>
  <c r="H18" i="2"/>
  <c r="D18" i="2"/>
  <c r="B18" i="2"/>
  <c r="A18" i="2"/>
  <c r="H13" i="2"/>
  <c r="D13" i="2"/>
  <c r="B13" i="2"/>
  <c r="A13" i="2"/>
  <c r="H17" i="2"/>
  <c r="D17" i="2"/>
  <c r="B17" i="2"/>
  <c r="A17" i="2"/>
  <c r="H12" i="2"/>
  <c r="D12" i="2"/>
  <c r="B12" i="2"/>
  <c r="A12" i="2"/>
  <c r="H11" i="2"/>
  <c r="D11" i="2"/>
  <c r="B11" i="2"/>
  <c r="A11" i="2"/>
  <c r="Q32" i="1"/>
  <c r="Q29" i="1"/>
  <c r="Q35" i="1"/>
  <c r="Q33" i="1"/>
  <c r="F16" i="1"/>
  <c r="F17" i="1" s="1"/>
  <c r="C17" i="1"/>
  <c r="Q24" i="1"/>
  <c r="Q27" i="1"/>
  <c r="Q25" i="1"/>
  <c r="Q22" i="1"/>
  <c r="C8" i="1"/>
  <c r="C7" i="1"/>
  <c r="E28" i="1"/>
  <c r="Q21" i="1"/>
  <c r="E18" i="2"/>
  <c r="F28" i="1"/>
  <c r="E19" i="2"/>
  <c r="E22" i="1"/>
  <c r="F22" i="1"/>
  <c r="E31" i="1"/>
  <c r="E33" i="1"/>
  <c r="E24" i="1"/>
  <c r="F24" i="1"/>
  <c r="G24" i="1"/>
  <c r="K24" i="1"/>
  <c r="E21" i="1"/>
  <c r="F21" i="1"/>
  <c r="E30" i="1"/>
  <c r="F30" i="1"/>
  <c r="G30" i="1"/>
  <c r="I30" i="1"/>
  <c r="G27" i="1"/>
  <c r="K27" i="1"/>
  <c r="E32" i="1"/>
  <c r="F32" i="1"/>
  <c r="G32" i="1"/>
  <c r="J32" i="1"/>
  <c r="G28" i="1"/>
  <c r="I28" i="1"/>
  <c r="E23" i="1"/>
  <c r="E35" i="1"/>
  <c r="F35" i="1"/>
  <c r="E26" i="1"/>
  <c r="F26" i="1"/>
  <c r="G26" i="1"/>
  <c r="I25" i="1"/>
  <c r="E29" i="1"/>
  <c r="E25" i="1"/>
  <c r="E34" i="1"/>
  <c r="E27" i="1"/>
  <c r="F27" i="1"/>
  <c r="G22" i="1"/>
  <c r="J22" i="1"/>
  <c r="F33" i="1"/>
  <c r="G33" i="1"/>
  <c r="K33" i="1"/>
  <c r="E16" i="2"/>
  <c r="F31" i="1"/>
  <c r="G31" i="1"/>
  <c r="I31" i="1"/>
  <c r="E21" i="2"/>
  <c r="E20" i="2"/>
  <c r="F34" i="1"/>
  <c r="G34" i="1"/>
  <c r="I34" i="1"/>
  <c r="E22" i="2"/>
  <c r="E12" i="2"/>
  <c r="F25" i="1"/>
  <c r="G25" i="1"/>
  <c r="J25" i="1"/>
  <c r="E13" i="2"/>
  <c r="F29" i="1"/>
  <c r="G29" i="1"/>
  <c r="J29" i="1"/>
  <c r="E14" i="2"/>
  <c r="F23" i="1"/>
  <c r="G23" i="1"/>
  <c r="E17" i="2"/>
  <c r="E15" i="2"/>
  <c r="I23" i="1"/>
  <c r="C12" i="1"/>
  <c r="C11" i="1"/>
  <c r="O22" i="1" l="1"/>
  <c r="O32" i="1"/>
  <c r="O27" i="1"/>
  <c r="O33" i="1"/>
  <c r="O30" i="1"/>
  <c r="C15" i="1"/>
  <c r="O23" i="1"/>
  <c r="O29" i="1"/>
  <c r="O35" i="1"/>
  <c r="O24" i="1"/>
  <c r="O25" i="1"/>
  <c r="O21" i="1"/>
  <c r="O31" i="1"/>
  <c r="O26" i="1"/>
  <c r="O34" i="1"/>
  <c r="O28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<sst xmlns="http://schemas.openxmlformats.org/spreadsheetml/2006/main" count="201" uniqueCount="127">
  <si>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</si>
  <si>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</si>
  <si>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</si>
  <si>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</si>
  <si>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</si>
  <si>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</si>
  <si>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</si>
  <si>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</si>
  <si>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</si>
  <si>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</si>
  <si>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</si>
  <si>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</si>
  <si>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</si>
  <si>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</si>
  <si>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</si>
  <si>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</si>
  <si>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</si>
  <si>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</si>
  <si>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</si>
  <si>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</si>
  <si>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</si>
  <si>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</si>
  <si>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</si>
  <si>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</si>
  <si>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</si>
  <si>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</si>
  <si>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</si>
  <si>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# of data points:</t>
  </si>
  <si>
    <t>EA/SD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</si>
  <si>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</si>
  <si>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</si>
  <si>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</si>
  <si>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</si>
  <si>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</si>
  <si>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</si>
  <si>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</si>
  <si>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</si>
  <si>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OEJV 0107</t>
  </si>
  <si>
    <t>Start of linear fit &gt;&gt;&gt;&gt;&gt;&gt;&gt;&gt;&gt;&gt;&gt;&gt;&gt;&gt;&gt;&gt;&gt;&gt;&gt;&gt;&gt;</t>
  </si>
  <si>
    <t>Add cycle</t>
  </si>
  <si>
    <t>Old Cycle</t>
  </si>
  <si>
    <t>IBVS 5960</t>
  </si>
  <si>
    <t>IBVS 5918</t>
  </si>
  <si>
    <t>IBVS 6011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</si>
  <si>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</si>
  <si>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</si>
  <si>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</si>
  <si>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</si>
  <si>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</si>
  <si>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</si>
  <si>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</si>
  <si>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</si>
  <si>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</si>
  <si>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</si>
  <si>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</si>
  <si>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</si>
  <si>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2451926.3484 </t>
  </si>
  <si>
    <t> 16.01.2001 20:21 </t>
  </si>
  <si>
    <t> -0.0832 </t>
  </si>
  <si>
    <t>E </t>
  </si>
  <si>
    <t>?</t>
  </si>
  <si>
    <t> R.Diethelm </t>
  </si>
  <si>
    <t> BBS 124 </t>
  </si>
  <si>
    <t>2453660.3515 </t>
  </si>
  <si>
    <t> 16.10.2005 20:26 </t>
  </si>
  <si>
    <t> -0.0880 </t>
  </si>
  <si>
    <t>C </t>
  </si>
  <si>
    <t>-I</t>
  </si>
  <si>
    <t> Agerer </t>
  </si>
  <si>
    <t>BAVM 178 </t>
  </si>
  <si>
    <t>2453988.4648 </t>
  </si>
  <si>
    <t> 09.09.2006 23:09 </t>
  </si>
  <si>
    <t>22983</t>
  </si>
  <si>
    <t> -0.0903 </t>
  </si>
  <si>
    <t>R</t>
  </si>
  <si>
    <t> M.Lehky </t>
  </si>
  <si>
    <t>OEJV 0107 </t>
  </si>
  <si>
    <t>2454002.3723 </t>
  </si>
  <si>
    <t> 23.09.2006 20:56 </t>
  </si>
  <si>
    <t>22995.5</t>
  </si>
  <si>
    <t> -0.0860 </t>
  </si>
  <si>
    <t> F. Agerer </t>
  </si>
  <si>
    <t>BAVM 183 </t>
  </si>
  <si>
    <t>2454364.4073 </t>
  </si>
  <si>
    <t> 20.09.2007 21:46 </t>
  </si>
  <si>
    <t>23321</t>
  </si>
  <si>
    <t> -0.0905 </t>
  </si>
  <si>
    <t>2454374.4157 </t>
  </si>
  <si>
    <t> 30.09.2007 21:58 </t>
  </si>
  <si>
    <t>23330</t>
  </si>
  <si>
    <t> -0.0924 </t>
  </si>
  <si>
    <t> F.Agerer </t>
  </si>
  <si>
    <t>BAVM 193 </t>
  </si>
  <si>
    <t>2454840.4539 </t>
  </si>
  <si>
    <t> 08.01.2009 22:53 </t>
  </si>
  <si>
    <t>23749</t>
  </si>
  <si>
    <t> -0.0897 </t>
  </si>
  <si>
    <t>BAVM 209 </t>
  </si>
  <si>
    <t>2455029.5362 </t>
  </si>
  <si>
    <t> 17.07.2009 00:52 </t>
  </si>
  <si>
    <t>23919</t>
  </si>
  <si>
    <t> -0.0910 </t>
  </si>
  <si>
    <t>BAVM 212 </t>
  </si>
  <si>
    <t>2455108.5087 </t>
  </si>
  <si>
    <t> 04.10.2009 00:12 </t>
  </si>
  <si>
    <t>23990</t>
  </si>
  <si>
    <t> -0.0887 </t>
  </si>
  <si>
    <t>2455473.3262 </t>
  </si>
  <si>
    <t> 03.10.2010 19:49 </t>
  </si>
  <si>
    <t>24318</t>
  </si>
  <si>
    <t> -0.0914 </t>
  </si>
  <si>
    <t>BAVM 215 </t>
  </si>
  <si>
    <t>2455506.6922 </t>
  </si>
  <si>
    <t> 06.11.2010 04:36 </t>
  </si>
  <si>
    <t>24348</t>
  </si>
  <si>
    <t> -0.0931 </t>
  </si>
  <si>
    <t>IBVS 5960 </t>
  </si>
  <si>
    <t>2455857.6031 </t>
  </si>
  <si>
    <t> 23.10.2011 02:28 </t>
  </si>
  <si>
    <t>24663.5</t>
  </si>
  <si>
    <t> -0.0991 </t>
  </si>
  <si>
    <t>BAVM 225 </t>
  </si>
  <si>
    <t>II</t>
  </si>
  <si>
    <t>s7</t>
  </si>
  <si>
    <t>BAD?</t>
  </si>
  <si>
    <t>MV Cas / na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</si>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</sst>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 applyAlignment="1">
      <alignment horizontal="center" wrapText="1"/>
    </xf>
    <xf numFmtId="0" fontId="8" fillId="0" borderId="0" xfId="0" applyFont="1" applyAlignment="1"/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MV Cas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5D-4C95-B683-E7C25A8105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-9.0339499991387129E-2</c:v>
                </c:pt>
                <c:pt idx="4">
                  <c:v>-9.0536499999871012E-2</c:v>
                </c:pt>
                <c:pt idx="7">
                  <c:v>-9.2445000002044253E-2</c:v>
                </c:pt>
                <c:pt idx="9">
                  <c:v>-9.10234999973909E-2</c:v>
                </c:pt>
                <c:pt idx="10">
                  <c:v>-8.8735000004817266E-2</c:v>
                </c:pt>
                <c:pt idx="13">
                  <c:v>-9.9087749993486796E-2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5D-4C95-B683-E7C25A8105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-8.7972000001173001E-2</c:v>
                </c:pt>
                <c:pt idx="4">
                  <c:v>-8.6045749994809739E-2</c:v>
                </c:pt>
                <c:pt idx="8">
                  <c:v>-8.9718499999435153E-2</c:v>
                </c:pt>
                <c:pt idx="11">
                  <c:v>-9.1366999993624631E-2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5D-4C95-B683-E7C25A8105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-9.0309499995782971E-2</c:v>
                </c:pt>
                <c:pt idx="6">
                  <c:v>-9.0476500001386739E-2</c:v>
                </c:pt>
                <c:pt idx="12">
                  <c:v>-9.3061999999918044E-2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5D-4C95-B683-E7C25A8105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5D-4C95-B683-E7C25A8105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5D-4C95-B683-E7C25A8105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5D-4C95-B683-E7C25A8105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-1.1059267999396175E-2</c:v>
                </c:pt>
                <c:pt idx="1">
                  <c:v>-8.7819414592033032E-2</c:v>
                </c:pt>
                <c:pt idx="2">
                  <c:v>-8.8817485962132986E-2</c:v>
                </c:pt>
                <c:pt idx="3">
                  <c:v>-8.8817485962132986E-2</c:v>
                </c:pt>
                <c:pt idx="4">
                  <c:v>-8.8859777121882991E-2</c:v>
                </c:pt>
                <c:pt idx="5">
                  <c:v>-8.9961038921772943E-2</c:v>
                </c:pt>
                <c:pt idx="6">
                  <c:v>-8.9961038921772943E-2</c:v>
                </c:pt>
                <c:pt idx="7">
                  <c:v>-8.999148855679294E-2</c:v>
                </c:pt>
                <c:pt idx="8">
                  <c:v>-9.1409088231612881E-2</c:v>
                </c:pt>
                <c:pt idx="9">
                  <c:v>-9.1984248004212857E-2</c:v>
                </c:pt>
                <c:pt idx="10">
                  <c:v>-9.2224461791592854E-2</c:v>
                </c:pt>
                <c:pt idx="11">
                  <c:v>-9.333418182343281E-2</c:v>
                </c:pt>
                <c:pt idx="12">
                  <c:v>-9.3435680606832799E-2</c:v>
                </c:pt>
                <c:pt idx="13">
                  <c:v>-9.450310947892275E-2</c:v>
                </c:pt>
                <c:pt idx="14">
                  <c:v>-9.4582616859252761E-2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5D-4C95-B683-E7C25A81051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4">
                  <c:v>-0.12361549999332055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5D-4C95-B683-E7C25A810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28648"/>
        <c:axId val="1"/>
      </c:scatterChart>
      <c:valAx>
        <c:axId val="514828648"/>
        <c:scaling>
          <c:orientation val="minMax"/>
          <c:max val="25000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828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9920030190085"/>
          <c:y val="0.92073298764483702"/>
          <c:w val="0.760905363404695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MV Cas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39-4340-9E00-B649D62B9F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-9.0339499991387129E-2</c:v>
                </c:pt>
                <c:pt idx="4">
                  <c:v>-9.0536499999871012E-2</c:v>
                </c:pt>
                <c:pt idx="7">
                  <c:v>-9.2445000002044253E-2</c:v>
                </c:pt>
                <c:pt idx="9">
                  <c:v>-9.10234999973909E-2</c:v>
                </c:pt>
                <c:pt idx="10">
                  <c:v>-8.8735000004817266E-2</c:v>
                </c:pt>
                <c:pt idx="13">
                  <c:v>-9.9087749993486796E-2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39-4340-9E00-B649D62B9F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-8.7972000001173001E-2</c:v>
                </c:pt>
                <c:pt idx="4">
                  <c:v>-8.6045749994809739E-2</c:v>
                </c:pt>
                <c:pt idx="8">
                  <c:v>-8.9718499999435153E-2</c:v>
                </c:pt>
                <c:pt idx="11">
                  <c:v>-9.1366999993624631E-2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39-4340-9E00-B649D62B9F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-9.0309499995782971E-2</c:v>
                </c:pt>
                <c:pt idx="6">
                  <c:v>-9.0476500001386739E-2</c:v>
                </c:pt>
                <c:pt idx="12">
                  <c:v>-9.3061999999918044E-2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39-4340-9E00-B649D62B9F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39-4340-9E00-B649D62B9F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39-4340-9E00-B649D62B9F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1.2999999999999999E-3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5.0000000000000001E-4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39-4340-9E00-B649D62B9F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22688</c:v>
                </c:pt>
                <c:pt idx="2">
                  <c:v>22983</c:v>
                </c:pt>
                <c:pt idx="3">
                  <c:v>22983</c:v>
                </c:pt>
                <c:pt idx="4">
                  <c:v>22995.5</c:v>
                </c:pt>
                <c:pt idx="5">
                  <c:v>23321</c:v>
                </c:pt>
                <c:pt idx="6">
                  <c:v>23321</c:v>
                </c:pt>
                <c:pt idx="7">
                  <c:v>23330</c:v>
                </c:pt>
                <c:pt idx="8">
                  <c:v>23749</c:v>
                </c:pt>
                <c:pt idx="9">
                  <c:v>23919</c:v>
                </c:pt>
                <c:pt idx="10">
                  <c:v>23990</c:v>
                </c:pt>
                <c:pt idx="11">
                  <c:v>24318</c:v>
                </c:pt>
                <c:pt idx="12">
                  <c:v>24348</c:v>
                </c:pt>
                <c:pt idx="13">
                  <c:v>24663.5</c:v>
                </c:pt>
                <c:pt idx="14">
                  <c:v>24687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-1.1059267999396175E-2</c:v>
                </c:pt>
                <c:pt idx="1">
                  <c:v>-8.7819414592033032E-2</c:v>
                </c:pt>
                <c:pt idx="2">
                  <c:v>-8.8817485962132986E-2</c:v>
                </c:pt>
                <c:pt idx="3">
                  <c:v>-8.8817485962132986E-2</c:v>
                </c:pt>
                <c:pt idx="4">
                  <c:v>-8.8859777121882991E-2</c:v>
                </c:pt>
                <c:pt idx="5">
                  <c:v>-8.9961038921772943E-2</c:v>
                </c:pt>
                <c:pt idx="6">
                  <c:v>-8.9961038921772943E-2</c:v>
                </c:pt>
                <c:pt idx="7">
                  <c:v>-8.999148855679294E-2</c:v>
                </c:pt>
                <c:pt idx="8">
                  <c:v>-9.1409088231612881E-2</c:v>
                </c:pt>
                <c:pt idx="9">
                  <c:v>-9.1984248004212857E-2</c:v>
                </c:pt>
                <c:pt idx="10">
                  <c:v>-9.2224461791592854E-2</c:v>
                </c:pt>
                <c:pt idx="11">
                  <c:v>-9.333418182343281E-2</c:v>
                </c:pt>
                <c:pt idx="12">
                  <c:v>-9.3435680606832799E-2</c:v>
                </c:pt>
                <c:pt idx="13">
                  <c:v>-9.450310947892275E-2</c:v>
                </c:pt>
                <c:pt idx="14">
                  <c:v>-9.4582616859252761E-2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39-4340-9E00-B649D62B9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25408"/>
        <c:axId val="1"/>
      </c:scatterChart>
      <c:valAx>
        <c:axId val="514825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825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25806451612904"/>
          <c:y val="0.92097264437689974"/>
          <c:w val="0.6580645161290322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304800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B5D45AD-0F58-5602-3916-32D9BB56F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1</xdr:rowOff>
    </xdr:from>
    <xdr:to>
      <xdr:col>26</xdr:col>
      <xdr:colOff>600075</xdr:colOff>
      <xdr:row>18</xdr:row>
      <xdr:rowOff>19051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57DCEF3-AA1D-735B-FDD6-4B2B077F6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bav-astro.de/sfs/BAVM_link.php?BAVMnr=183" TargetMode="External"/><Relationship Id="rId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93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125</v>
      </c>
    </row>
    <row r="2" spans="1:6" x14ac:dyDescent="0.2">
      <c r="A2" t="s">
        <v>24</v>
      </c>
      <c r="B2" s="11" t="s">
        <v>28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28425.563999999998</v>
      </c>
      <c r="D4" s="9">
        <v>1.1122565</v>
      </c>
    </row>
    <row r="5" spans="1:6" ht="13.5" thickTop="1" x14ac:dyDescent="0.2">
      <c r="A5" s="18" t="s">
        <v>30</v>
      </c>
      <c r="B5" s="11"/>
      <c r="C5" s="19">
        <v>-9.5</v>
      </c>
      <c r="D5" s="11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28425.563999999998</v>
      </c>
    </row>
    <row r="8" spans="1:6" x14ac:dyDescent="0.2">
      <c r="A8" t="s">
        <v>3</v>
      </c>
      <c r="C8">
        <f>+D4</f>
        <v>1.1122565</v>
      </c>
    </row>
    <row r="9" spans="1:6" x14ac:dyDescent="0.2">
      <c r="A9" s="31" t="s">
        <v>38</v>
      </c>
      <c r="B9" s="32">
        <v>21</v>
      </c>
      <c r="C9" s="21" t="str">
        <f>"F"&amp;B9</f>
        <v>F21</v>
      </c>
      <c r="D9" s="17" t="str">
        <f>"G"&amp;B9</f>
        <v>G21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20">
        <f ca="1">INTERCEPT(INDIRECT($D$9):G992,INDIRECT($C$9):F992)</f>
        <v>-1.1059267999396175E-2</v>
      </c>
      <c r="D11" s="3"/>
      <c r="E11" s="11"/>
    </row>
    <row r="12" spans="1:6" x14ac:dyDescent="0.2">
      <c r="A12" s="11" t="s">
        <v>17</v>
      </c>
      <c r="B12" s="11"/>
      <c r="C12" s="20">
        <f ca="1">SLOPE(INDIRECT($D$9):G992,INDIRECT($C$9):F992)</f>
        <v>-3.3832927799998614E-6</v>
      </c>
      <c r="D12" s="3"/>
      <c r="E12" s="11"/>
    </row>
    <row r="13" spans="1:6" x14ac:dyDescent="0.2">
      <c r="A13" s="11" t="s">
        <v>19</v>
      </c>
      <c r="B13" s="11"/>
      <c r="C13" s="3" t="s">
        <v>14</v>
      </c>
    </row>
    <row r="14" spans="1:6" x14ac:dyDescent="0.2">
      <c r="A14" s="11"/>
      <c r="B14" s="11"/>
      <c r="C14" s="11"/>
    </row>
    <row r="15" spans="1:6" x14ac:dyDescent="0.2">
      <c r="A15" s="22" t="s">
        <v>18</v>
      </c>
      <c r="B15" s="11"/>
      <c r="C15" s="23">
        <f ca="1">(C7+C11)+(C8+C12)*INT(MAX(F21:F3533))</f>
        <v>55883.745632883139</v>
      </c>
      <c r="E15" s="24" t="s">
        <v>39</v>
      </c>
      <c r="F15" s="19">
        <v>1</v>
      </c>
    </row>
    <row r="16" spans="1:6" x14ac:dyDescent="0.2">
      <c r="A16" s="26" t="s">
        <v>4</v>
      </c>
      <c r="B16" s="11"/>
      <c r="C16" s="27">
        <f ca="1">+C8+C12</f>
        <v>1.11225311670722</v>
      </c>
      <c r="E16" s="24" t="s">
        <v>32</v>
      </c>
      <c r="F16" s="25">
        <f ca="1">NOW()+15018.5+$C$5/24</f>
        <v>60328.757929282408</v>
      </c>
    </row>
    <row r="17" spans="1:21" ht="13.5" thickBot="1" x14ac:dyDescent="0.25">
      <c r="A17" s="24" t="s">
        <v>27</v>
      </c>
      <c r="B17" s="11"/>
      <c r="C17" s="11">
        <f>COUNT(C21:C2191)</f>
        <v>15</v>
      </c>
      <c r="E17" s="24" t="s">
        <v>40</v>
      </c>
      <c r="F17" s="25">
        <f ca="1">ROUND(2*(F16-$C$7)/$C$8,0)/2+F15</f>
        <v>28684.5</v>
      </c>
    </row>
    <row r="18" spans="1:21" ht="14.25" thickTop="1" thickBot="1" x14ac:dyDescent="0.25">
      <c r="A18" s="26" t="s">
        <v>5</v>
      </c>
      <c r="B18" s="11"/>
      <c r="C18" s="29">
        <f ca="1">+C15</f>
        <v>55883.745632883139</v>
      </c>
      <c r="D18" s="30">
        <f ca="1">+C16</f>
        <v>1.11225311670722</v>
      </c>
      <c r="E18" s="24" t="s">
        <v>33</v>
      </c>
      <c r="F18" s="17">
        <f ca="1">ROUND(2*(F16-$C$15)/$C$16,0)/2+F15</f>
        <v>3997.5</v>
      </c>
    </row>
    <row r="19" spans="1:21" ht="13.5" thickTop="1" x14ac:dyDescent="0.2">
      <c r="E19" s="24" t="s">
        <v>34</v>
      </c>
      <c r="F19" s="28">
        <f ca="1">+$C$15+$C$16*F18-15018.5-$C$5/24</f>
        <v>45311.873300253588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25</v>
      </c>
      <c r="M20" s="7" t="s">
        <v>26</v>
      </c>
      <c r="N20" s="7" t="s">
        <v>123</v>
      </c>
      <c r="O20" s="7" t="s">
        <v>23</v>
      </c>
      <c r="P20" s="6" t="s">
        <v>22</v>
      </c>
      <c r="Q20" s="4" t="s">
        <v>15</v>
      </c>
      <c r="U20" s="55" t="s">
        <v>124</v>
      </c>
    </row>
    <row r="21" spans="1:21" x14ac:dyDescent="0.2">
      <c r="A21" t="s">
        <v>12</v>
      </c>
      <c r="C21" s="10">
        <v>28425.563999999998</v>
      </c>
      <c r="D21" s="10" t="s">
        <v>14</v>
      </c>
      <c r="E21">
        <f t="shared" ref="E21:E35" si="0">+(C21-C$7)/C$8</f>
        <v>0</v>
      </c>
      <c r="F21">
        <f t="shared" ref="F21:F35" si="1">ROUND(2*E21,0)/2</f>
        <v>0</v>
      </c>
      <c r="H21" s="17">
        <v>0</v>
      </c>
      <c r="O21">
        <f t="shared" ref="O21:O35" ca="1" si="2">+C$11+C$12*$F21</f>
        <v>-1.1059267999396175E-2</v>
      </c>
      <c r="Q21" s="2">
        <f t="shared" ref="Q21:Q35" si="3">+C21-15018.5</f>
        <v>13407.063999999998</v>
      </c>
    </row>
    <row r="22" spans="1:21" x14ac:dyDescent="0.2">
      <c r="A22" s="12" t="s">
        <v>29</v>
      </c>
      <c r="B22" s="13"/>
      <c r="C22" s="14">
        <v>53660.351499999997</v>
      </c>
      <c r="D22" s="14">
        <v>1.1000000000000001E-3</v>
      </c>
      <c r="E22">
        <f t="shared" si="0"/>
        <v>22687.920906733292</v>
      </c>
      <c r="F22">
        <f t="shared" si="1"/>
        <v>22688</v>
      </c>
      <c r="G22">
        <f t="shared" ref="G22:G34" si="4">+C22-(C$7+F22*C$8)</f>
        <v>-8.7972000001173001E-2</v>
      </c>
      <c r="J22">
        <f>+G22</f>
        <v>-8.7972000001173001E-2</v>
      </c>
      <c r="O22">
        <f t="shared" ca="1" si="2"/>
        <v>-8.7819414592033032E-2</v>
      </c>
      <c r="Q22" s="2">
        <f t="shared" si="3"/>
        <v>38641.851499999997</v>
      </c>
      <c r="R22" t="s">
        <v>49</v>
      </c>
    </row>
    <row r="23" spans="1:21" x14ac:dyDescent="0.2">
      <c r="A23" s="53" t="s">
        <v>37</v>
      </c>
      <c r="B23" s="54" t="s">
        <v>36</v>
      </c>
      <c r="C23" s="53">
        <v>53988.464800000002</v>
      </c>
      <c r="D23" s="53" t="s">
        <v>55</v>
      </c>
      <c r="E23">
        <f t="shared" si="0"/>
        <v>22982.918778177518</v>
      </c>
      <c r="F23">
        <f t="shared" si="1"/>
        <v>22983</v>
      </c>
      <c r="G23">
        <f t="shared" si="4"/>
        <v>-9.0339499991387129E-2</v>
      </c>
      <c r="I23">
        <f>+G23</f>
        <v>-9.0339499991387129E-2</v>
      </c>
      <c r="O23">
        <f t="shared" ca="1" si="2"/>
        <v>-8.8817485962132986E-2</v>
      </c>
      <c r="Q23" s="2">
        <f t="shared" si="3"/>
        <v>38969.964800000002</v>
      </c>
    </row>
    <row r="24" spans="1:21" x14ac:dyDescent="0.2">
      <c r="A24" s="33" t="s">
        <v>37</v>
      </c>
      <c r="B24" s="33"/>
      <c r="C24" s="34">
        <v>53988.464829999997</v>
      </c>
      <c r="D24" s="34">
        <v>2.0000000000000001E-4</v>
      </c>
      <c r="E24">
        <f t="shared" si="0"/>
        <v>22982.918805149711</v>
      </c>
      <c r="F24">
        <f t="shared" si="1"/>
        <v>22983</v>
      </c>
      <c r="G24">
        <f t="shared" si="4"/>
        <v>-9.0309499995782971E-2</v>
      </c>
      <c r="K24">
        <f>+G24</f>
        <v>-9.0309499995782971E-2</v>
      </c>
      <c r="O24">
        <f t="shared" ca="1" si="2"/>
        <v>-8.8817485962132986E-2</v>
      </c>
      <c r="Q24" s="2">
        <f t="shared" si="3"/>
        <v>38969.964829999997</v>
      </c>
      <c r="R24" t="s">
        <v>47</v>
      </c>
    </row>
    <row r="25" spans="1:21" x14ac:dyDescent="0.2">
      <c r="A25" s="15" t="s">
        <v>35</v>
      </c>
      <c r="B25" s="16" t="s">
        <v>36</v>
      </c>
      <c r="C25" s="10">
        <v>54002.372300000003</v>
      </c>
      <c r="D25" s="10">
        <v>1.2999999999999999E-3</v>
      </c>
      <c r="E25">
        <f t="shared" si="0"/>
        <v>22995.422638573033</v>
      </c>
      <c r="F25">
        <f t="shared" si="1"/>
        <v>22995.5</v>
      </c>
      <c r="G25">
        <f t="shared" si="4"/>
        <v>-8.6045749994809739E-2</v>
      </c>
      <c r="I25">
        <f>+G26</f>
        <v>-9.0536499999871012E-2</v>
      </c>
      <c r="J25">
        <f>+G25</f>
        <v>-8.6045749994809739E-2</v>
      </c>
      <c r="O25">
        <f t="shared" ca="1" si="2"/>
        <v>-8.8859777121882991E-2</v>
      </c>
      <c r="Q25" s="2">
        <f t="shared" si="3"/>
        <v>38983.872300000003</v>
      </c>
      <c r="R25" t="s">
        <v>49</v>
      </c>
    </row>
    <row r="26" spans="1:21" x14ac:dyDescent="0.2">
      <c r="A26" s="53" t="s">
        <v>37</v>
      </c>
      <c r="B26" s="54" t="s">
        <v>36</v>
      </c>
      <c r="C26" s="53">
        <v>54364.407299999999</v>
      </c>
      <c r="D26" s="53" t="s">
        <v>55</v>
      </c>
      <c r="E26">
        <f t="shared" si="0"/>
        <v>23320.918601060097</v>
      </c>
      <c r="F26">
        <f t="shared" si="1"/>
        <v>23321</v>
      </c>
      <c r="G26">
        <f t="shared" si="4"/>
        <v>-9.0536499999871012E-2</v>
      </c>
      <c r="O26">
        <f t="shared" ca="1" si="2"/>
        <v>-8.9961038921772943E-2</v>
      </c>
      <c r="Q26" s="2">
        <f t="shared" si="3"/>
        <v>39345.907299999999</v>
      </c>
    </row>
    <row r="27" spans="1:21" x14ac:dyDescent="0.2">
      <c r="A27" s="33" t="s">
        <v>37</v>
      </c>
      <c r="B27" s="33"/>
      <c r="C27" s="34">
        <v>54364.407359999997</v>
      </c>
      <c r="D27" s="34">
        <v>2.0000000000000001E-4</v>
      </c>
      <c r="E27">
        <f t="shared" si="0"/>
        <v>23320.918655004487</v>
      </c>
      <c r="F27">
        <f t="shared" si="1"/>
        <v>23321</v>
      </c>
      <c r="G27">
        <f t="shared" si="4"/>
        <v>-9.0476500001386739E-2</v>
      </c>
      <c r="K27">
        <f>+G27</f>
        <v>-9.0476500001386739E-2</v>
      </c>
      <c r="O27">
        <f t="shared" ca="1" si="2"/>
        <v>-8.9961038921772943E-2</v>
      </c>
      <c r="Q27" s="2">
        <f t="shared" si="3"/>
        <v>39345.907359999997</v>
      </c>
      <c r="R27" t="s">
        <v>47</v>
      </c>
    </row>
    <row r="28" spans="1:21" x14ac:dyDescent="0.2">
      <c r="A28" s="53" t="s">
        <v>92</v>
      </c>
      <c r="B28" s="54" t="s">
        <v>36</v>
      </c>
      <c r="C28" s="53">
        <v>54374.415699999998</v>
      </c>
      <c r="D28" s="53" t="s">
        <v>55</v>
      </c>
      <c r="E28">
        <f t="shared" si="0"/>
        <v>23329.916885178915</v>
      </c>
      <c r="F28">
        <f t="shared" si="1"/>
        <v>23330</v>
      </c>
      <c r="G28">
        <f t="shared" si="4"/>
        <v>-9.2445000002044253E-2</v>
      </c>
      <c r="I28">
        <f>+G28</f>
        <v>-9.2445000002044253E-2</v>
      </c>
      <c r="O28">
        <f t="shared" ca="1" si="2"/>
        <v>-8.999148855679294E-2</v>
      </c>
      <c r="Q28" s="2">
        <f t="shared" si="3"/>
        <v>39355.915699999998</v>
      </c>
    </row>
    <row r="29" spans="1:21" x14ac:dyDescent="0.2">
      <c r="A29" s="35" t="s">
        <v>42</v>
      </c>
      <c r="B29" s="36" t="s">
        <v>36</v>
      </c>
      <c r="C29" s="35">
        <v>54840.4539</v>
      </c>
      <c r="D29" s="35">
        <v>5.0000000000000001E-4</v>
      </c>
      <c r="E29">
        <f t="shared" si="0"/>
        <v>23748.919336501967</v>
      </c>
      <c r="F29">
        <f t="shared" si="1"/>
        <v>23749</v>
      </c>
      <c r="G29">
        <f t="shared" si="4"/>
        <v>-8.9718499999435153E-2</v>
      </c>
      <c r="J29">
        <f>+G29</f>
        <v>-8.9718499999435153E-2</v>
      </c>
      <c r="O29">
        <f t="shared" ca="1" si="2"/>
        <v>-9.1409088231612881E-2</v>
      </c>
      <c r="Q29" s="2">
        <f t="shared" si="3"/>
        <v>39821.9539</v>
      </c>
      <c r="R29" t="s">
        <v>49</v>
      </c>
    </row>
    <row r="30" spans="1:21" x14ac:dyDescent="0.2">
      <c r="A30" s="53" t="s">
        <v>102</v>
      </c>
      <c r="B30" s="54" t="s">
        <v>36</v>
      </c>
      <c r="C30" s="53">
        <v>55029.536200000002</v>
      </c>
      <c r="D30" s="53" t="s">
        <v>55</v>
      </c>
      <c r="E30">
        <f t="shared" si="0"/>
        <v>23918.918163211456</v>
      </c>
      <c r="F30">
        <f t="shared" si="1"/>
        <v>23919</v>
      </c>
      <c r="G30">
        <f t="shared" si="4"/>
        <v>-9.10234999973909E-2</v>
      </c>
      <c r="I30">
        <f>+G30</f>
        <v>-9.10234999973909E-2</v>
      </c>
      <c r="O30">
        <f t="shared" ca="1" si="2"/>
        <v>-9.1984248004212857E-2</v>
      </c>
      <c r="Q30" s="2">
        <f t="shared" si="3"/>
        <v>40011.036200000002</v>
      </c>
    </row>
    <row r="31" spans="1:21" x14ac:dyDescent="0.2">
      <c r="A31" s="53" t="s">
        <v>102</v>
      </c>
      <c r="B31" s="54" t="s">
        <v>36</v>
      </c>
      <c r="C31" s="53">
        <v>55108.508699999998</v>
      </c>
      <c r="D31" s="53" t="s">
        <v>55</v>
      </c>
      <c r="E31">
        <f t="shared" si="0"/>
        <v>23989.920220740449</v>
      </c>
      <c r="F31">
        <f t="shared" si="1"/>
        <v>23990</v>
      </c>
      <c r="G31">
        <f t="shared" si="4"/>
        <v>-8.8735000004817266E-2</v>
      </c>
      <c r="I31">
        <f>+G31</f>
        <v>-8.8735000004817266E-2</v>
      </c>
      <c r="O31">
        <f t="shared" ca="1" si="2"/>
        <v>-9.2224461791592854E-2</v>
      </c>
      <c r="Q31" s="2">
        <f t="shared" si="3"/>
        <v>40090.008699999998</v>
      </c>
    </row>
    <row r="32" spans="1:21" x14ac:dyDescent="0.2">
      <c r="A32" s="38" t="s">
        <v>44</v>
      </c>
      <c r="B32" s="38"/>
      <c r="C32" s="39">
        <v>55473.326200000003</v>
      </c>
      <c r="D32" s="39">
        <v>2.7000000000000001E-3</v>
      </c>
      <c r="E32">
        <f t="shared" si="0"/>
        <v>24317.917854379819</v>
      </c>
      <c r="F32">
        <f t="shared" si="1"/>
        <v>24318</v>
      </c>
      <c r="G32">
        <f t="shared" si="4"/>
        <v>-9.1366999993624631E-2</v>
      </c>
      <c r="J32">
        <f>+G32</f>
        <v>-9.1366999993624631E-2</v>
      </c>
      <c r="O32">
        <f t="shared" ca="1" si="2"/>
        <v>-9.333418182343281E-2</v>
      </c>
      <c r="Q32" s="2">
        <f t="shared" si="3"/>
        <v>40454.826200000003</v>
      </c>
      <c r="R32" t="s">
        <v>49</v>
      </c>
    </row>
    <row r="33" spans="1:21" x14ac:dyDescent="0.2">
      <c r="A33" s="15" t="s">
        <v>41</v>
      </c>
      <c r="B33" s="37" t="s">
        <v>36</v>
      </c>
      <c r="C33" s="34">
        <v>55506.692199999998</v>
      </c>
      <c r="D33" s="34">
        <v>2.0000000000000001E-4</v>
      </c>
      <c r="E33">
        <f t="shared" si="0"/>
        <v>24347.916330450753</v>
      </c>
      <c r="F33">
        <f t="shared" si="1"/>
        <v>24348</v>
      </c>
      <c r="G33">
        <f t="shared" si="4"/>
        <v>-9.3061999999918044E-2</v>
      </c>
      <c r="K33">
        <f>+G33</f>
        <v>-9.3061999999918044E-2</v>
      </c>
      <c r="O33">
        <f t="shared" ca="1" si="2"/>
        <v>-9.3435680606832799E-2</v>
      </c>
      <c r="Q33" s="2">
        <f t="shared" si="3"/>
        <v>40488.192199999998</v>
      </c>
      <c r="R33" t="s">
        <v>126</v>
      </c>
    </row>
    <row r="34" spans="1:21" x14ac:dyDescent="0.2">
      <c r="A34" s="53" t="s">
        <v>121</v>
      </c>
      <c r="B34" s="54" t="s">
        <v>122</v>
      </c>
      <c r="C34" s="53">
        <v>55857.6031</v>
      </c>
      <c r="D34" s="53" t="s">
        <v>55</v>
      </c>
      <c r="E34">
        <f t="shared" si="0"/>
        <v>24663.41091286048</v>
      </c>
      <c r="F34">
        <f t="shared" si="1"/>
        <v>24663.5</v>
      </c>
      <c r="G34">
        <f t="shared" si="4"/>
        <v>-9.9087749993486796E-2</v>
      </c>
      <c r="I34">
        <f>+G34</f>
        <v>-9.9087749993486796E-2</v>
      </c>
      <c r="O34">
        <f t="shared" ca="1" si="2"/>
        <v>-9.450310947892275E-2</v>
      </c>
      <c r="Q34" s="2">
        <f t="shared" si="3"/>
        <v>40839.1031</v>
      </c>
    </row>
    <row r="35" spans="1:21" x14ac:dyDescent="0.2">
      <c r="A35" s="35" t="s">
        <v>43</v>
      </c>
      <c r="B35" s="36" t="s">
        <v>36</v>
      </c>
      <c r="C35" s="35">
        <v>55883.7166</v>
      </c>
      <c r="D35" s="35">
        <v>4.0000000000000002E-4</v>
      </c>
      <c r="E35">
        <f t="shared" si="0"/>
        <v>24686.888860618034</v>
      </c>
      <c r="F35">
        <f t="shared" si="1"/>
        <v>24687</v>
      </c>
      <c r="O35">
        <f t="shared" ca="1" si="2"/>
        <v>-9.4582616859252761E-2</v>
      </c>
      <c r="Q35" s="2">
        <f t="shared" si="3"/>
        <v>40865.2166</v>
      </c>
      <c r="R35" t="s">
        <v>47</v>
      </c>
      <c r="U35" s="17">
        <v>-0.12361549999332055</v>
      </c>
    </row>
    <row r="36" spans="1:21" x14ac:dyDescent="0.2">
      <c r="B36" s="3"/>
      <c r="C36" s="10"/>
      <c r="D36" s="10"/>
    </row>
    <row r="37" spans="1:21" x14ac:dyDescent="0.2">
      <c r="C37" s="10"/>
      <c r="D37" s="10"/>
    </row>
    <row r="38" spans="1:21" x14ac:dyDescent="0.2">
      <c r="C38" s="10"/>
      <c r="D38" s="10"/>
    </row>
    <row r="39" spans="1:21" x14ac:dyDescent="0.2">
      <c r="C39" s="10"/>
      <c r="D39" s="10"/>
    </row>
    <row r="40" spans="1:21" x14ac:dyDescent="0.2">
      <c r="C40" s="10"/>
      <c r="D40" s="10"/>
    </row>
    <row r="41" spans="1:21" x14ac:dyDescent="0.2">
      <c r="C41" s="10"/>
      <c r="D41" s="10"/>
    </row>
    <row r="42" spans="1:21" x14ac:dyDescent="0.2">
      <c r="C42" s="10"/>
      <c r="D42" s="10"/>
    </row>
    <row r="43" spans="1:21" x14ac:dyDescent="0.2">
      <c r="C43" s="10"/>
      <c r="D43" s="10"/>
    </row>
    <row r="44" spans="1:21" x14ac:dyDescent="0.2">
      <c r="C44" s="10"/>
      <c r="D44" s="10"/>
    </row>
    <row r="45" spans="1:21" x14ac:dyDescent="0.2">
      <c r="C45" s="10"/>
      <c r="D45" s="10"/>
    </row>
    <row r="46" spans="1:21" x14ac:dyDescent="0.2">
      <c r="C46" s="10"/>
      <c r="D46" s="10"/>
    </row>
    <row r="47" spans="1:21" x14ac:dyDescent="0.2">
      <c r="C47" s="10"/>
      <c r="D47" s="10"/>
    </row>
    <row r="48" spans="1:21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1"/>
  <sheetViews>
    <sheetView workbookViewId="0">
      <selection activeCell="A17" sqref="A17:D22"/>
    </sheetView>
  </sheetViews>
  <sheetFormatPr defaultRowHeight="12.75" x14ac:dyDescent="0.2"/>
  <cols>
    <col min="1" max="1" width="19.7109375" style="10" customWidth="1"/>
    <col min="2" max="2" width="4.42578125" style="11" customWidth="1"/>
    <col min="3" max="3" width="12.7109375" style="10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0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0" t="s">
        <v>45</v>
      </c>
      <c r="I1" s="41" t="s">
        <v>46</v>
      </c>
      <c r="J1" s="42" t="s">
        <v>47</v>
      </c>
    </row>
    <row r="2" spans="1:16" x14ac:dyDescent="0.2">
      <c r="I2" s="43" t="s">
        <v>48</v>
      </c>
      <c r="J2" s="44" t="s">
        <v>49</v>
      </c>
    </row>
    <row r="3" spans="1:16" x14ac:dyDescent="0.2">
      <c r="A3" s="45" t="s">
        <v>50</v>
      </c>
      <c r="I3" s="43" t="s">
        <v>51</v>
      </c>
      <c r="J3" s="44" t="s">
        <v>52</v>
      </c>
    </row>
    <row r="4" spans="1:16" x14ac:dyDescent="0.2">
      <c r="I4" s="43" t="s">
        <v>53</v>
      </c>
      <c r="J4" s="44" t="s">
        <v>52</v>
      </c>
    </row>
    <row r="5" spans="1:16" ht="13.5" thickBot="1" x14ac:dyDescent="0.25">
      <c r="I5" s="46" t="s">
        <v>54</v>
      </c>
      <c r="J5" s="47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 BBS 124 </v>
      </c>
      <c r="B11" s="3" t="str">
        <f t="shared" ref="B11:B22" si="1">IF(H11=INT(H11),"I","II")</f>
        <v>I</v>
      </c>
      <c r="C11" s="10">
        <f t="shared" ref="C11:C22" si="2">1*G11</f>
        <v>51926.348400000003</v>
      </c>
      <c r="D11" s="11" t="str">
        <f t="shared" ref="D11:D22" si="3">VLOOKUP(F11,I$1:J$5,2,FALSE)</f>
        <v>vis</v>
      </c>
      <c r="E11" s="48" t="e">
        <f>VLOOKUP(C11,Active!C$21:E$973,3,FALSE)</f>
        <v>#N/A</v>
      </c>
      <c r="F11" s="3" t="s">
        <v>54</v>
      </c>
      <c r="G11" s="11" t="str">
        <f t="shared" ref="G11:G22" si="4">MID(I11,3,LEN(I11)-3)</f>
        <v>51926.3484</v>
      </c>
      <c r="H11" s="10">
        <f t="shared" ref="H11:H22" si="5">1*K11</f>
        <v>21129</v>
      </c>
      <c r="I11" s="49" t="s">
        <v>56</v>
      </c>
      <c r="J11" s="50" t="s">
        <v>57</v>
      </c>
      <c r="K11" s="49">
        <v>21129</v>
      </c>
      <c r="L11" s="49" t="s">
        <v>58</v>
      </c>
      <c r="M11" s="50" t="s">
        <v>59</v>
      </c>
      <c r="N11" s="50" t="s">
        <v>60</v>
      </c>
      <c r="O11" s="51" t="s">
        <v>61</v>
      </c>
      <c r="P11" s="51" t="s">
        <v>62</v>
      </c>
    </row>
    <row r="12" spans="1:16" ht="12.75" customHeight="1" thickBot="1" x14ac:dyDescent="0.25">
      <c r="A12" s="10" t="str">
        <f t="shared" si="0"/>
        <v>BAVM 178 </v>
      </c>
      <c r="B12" s="3" t="str">
        <f t="shared" si="1"/>
        <v>I</v>
      </c>
      <c r="C12" s="10">
        <f t="shared" si="2"/>
        <v>53660.351499999997</v>
      </c>
      <c r="D12" s="11" t="str">
        <f t="shared" si="3"/>
        <v>vis</v>
      </c>
      <c r="E12" s="48">
        <f>VLOOKUP(C12,Active!C$21:E$973,3,FALSE)</f>
        <v>22687.920906733292</v>
      </c>
      <c r="F12" s="3" t="s">
        <v>54</v>
      </c>
      <c r="G12" s="11" t="str">
        <f t="shared" si="4"/>
        <v>53660.3515</v>
      </c>
      <c r="H12" s="10">
        <f t="shared" si="5"/>
        <v>22688</v>
      </c>
      <c r="I12" s="49" t="s">
        <v>63</v>
      </c>
      <c r="J12" s="50" t="s">
        <v>64</v>
      </c>
      <c r="K12" s="49">
        <v>22688</v>
      </c>
      <c r="L12" s="49" t="s">
        <v>65</v>
      </c>
      <c r="M12" s="50" t="s">
        <v>66</v>
      </c>
      <c r="N12" s="50" t="s">
        <v>67</v>
      </c>
      <c r="O12" s="51" t="s">
        <v>68</v>
      </c>
      <c r="P12" s="52" t="s">
        <v>69</v>
      </c>
    </row>
    <row r="13" spans="1:16" ht="12.75" customHeight="1" thickBot="1" x14ac:dyDescent="0.25">
      <c r="A13" s="10" t="str">
        <f t="shared" si="0"/>
        <v>BAVM 183 </v>
      </c>
      <c r="B13" s="3" t="str">
        <f t="shared" si="1"/>
        <v>II</v>
      </c>
      <c r="C13" s="10">
        <f t="shared" si="2"/>
        <v>54002.372300000003</v>
      </c>
      <c r="D13" s="11" t="str">
        <f t="shared" si="3"/>
        <v>vis</v>
      </c>
      <c r="E13" s="48">
        <f>VLOOKUP(C13,Active!C$21:E$973,3,FALSE)</f>
        <v>22995.422638573033</v>
      </c>
      <c r="F13" s="3" t="s">
        <v>54</v>
      </c>
      <c r="G13" s="11" t="str">
        <f t="shared" si="4"/>
        <v>54002.3723</v>
      </c>
      <c r="H13" s="10">
        <f t="shared" si="5"/>
        <v>22995.5</v>
      </c>
      <c r="I13" s="49" t="s">
        <v>77</v>
      </c>
      <c r="J13" s="50" t="s">
        <v>78</v>
      </c>
      <c r="K13" s="49" t="s">
        <v>79</v>
      </c>
      <c r="L13" s="49" t="s">
        <v>80</v>
      </c>
      <c r="M13" s="50" t="s">
        <v>66</v>
      </c>
      <c r="N13" s="50" t="s">
        <v>67</v>
      </c>
      <c r="O13" s="51" t="s">
        <v>81</v>
      </c>
      <c r="P13" s="52" t="s">
        <v>82</v>
      </c>
    </row>
    <row r="14" spans="1:16" ht="12.75" customHeight="1" thickBot="1" x14ac:dyDescent="0.25">
      <c r="A14" s="10" t="str">
        <f t="shared" si="0"/>
        <v>BAVM 209 </v>
      </c>
      <c r="B14" s="3" t="str">
        <f t="shared" si="1"/>
        <v>I</v>
      </c>
      <c r="C14" s="10">
        <f t="shared" si="2"/>
        <v>54840.4539</v>
      </c>
      <c r="D14" s="11" t="str">
        <f t="shared" si="3"/>
        <v>vis</v>
      </c>
      <c r="E14" s="48">
        <f>VLOOKUP(C14,Active!C$21:E$973,3,FALSE)</f>
        <v>23748.919336501967</v>
      </c>
      <c r="F14" s="3" t="s">
        <v>54</v>
      </c>
      <c r="G14" s="11" t="str">
        <f t="shared" si="4"/>
        <v>54840.4539</v>
      </c>
      <c r="H14" s="10">
        <f t="shared" si="5"/>
        <v>23749</v>
      </c>
      <c r="I14" s="49" t="s">
        <v>93</v>
      </c>
      <c r="J14" s="50" t="s">
        <v>94</v>
      </c>
      <c r="K14" s="49" t="s">
        <v>95</v>
      </c>
      <c r="L14" s="49" t="s">
        <v>96</v>
      </c>
      <c r="M14" s="50" t="s">
        <v>66</v>
      </c>
      <c r="N14" s="50" t="s">
        <v>67</v>
      </c>
      <c r="O14" s="51" t="s">
        <v>91</v>
      </c>
      <c r="P14" s="52" t="s">
        <v>97</v>
      </c>
    </row>
    <row r="15" spans="1:16" ht="12.75" customHeight="1" thickBot="1" x14ac:dyDescent="0.25">
      <c r="A15" s="10" t="str">
        <f t="shared" si="0"/>
        <v>BAVM 215 </v>
      </c>
      <c r="B15" s="3" t="str">
        <f t="shared" si="1"/>
        <v>I</v>
      </c>
      <c r="C15" s="10">
        <f t="shared" si="2"/>
        <v>55473.326200000003</v>
      </c>
      <c r="D15" s="11" t="str">
        <f t="shared" si="3"/>
        <v>vis</v>
      </c>
      <c r="E15" s="48">
        <f>VLOOKUP(C15,Active!C$21:E$973,3,FALSE)</f>
        <v>24317.917854379819</v>
      </c>
      <c r="F15" s="3" t="s">
        <v>54</v>
      </c>
      <c r="G15" s="11" t="str">
        <f t="shared" si="4"/>
        <v>55473.3262</v>
      </c>
      <c r="H15" s="10">
        <f t="shared" si="5"/>
        <v>24318</v>
      </c>
      <c r="I15" s="49" t="s">
        <v>107</v>
      </c>
      <c r="J15" s="50" t="s">
        <v>108</v>
      </c>
      <c r="K15" s="49" t="s">
        <v>109</v>
      </c>
      <c r="L15" s="49" t="s">
        <v>110</v>
      </c>
      <c r="M15" s="50" t="s">
        <v>66</v>
      </c>
      <c r="N15" s="50" t="s">
        <v>67</v>
      </c>
      <c r="O15" s="51" t="s">
        <v>91</v>
      </c>
      <c r="P15" s="52" t="s">
        <v>111</v>
      </c>
    </row>
    <row r="16" spans="1:16" ht="12.75" customHeight="1" thickBot="1" x14ac:dyDescent="0.25">
      <c r="A16" s="10" t="str">
        <f t="shared" si="0"/>
        <v>IBVS 5960 </v>
      </c>
      <c r="B16" s="3" t="str">
        <f t="shared" si="1"/>
        <v>I</v>
      </c>
      <c r="C16" s="10">
        <f t="shared" si="2"/>
        <v>55506.692199999998</v>
      </c>
      <c r="D16" s="11" t="str">
        <f t="shared" si="3"/>
        <v>vis</v>
      </c>
      <c r="E16" s="48">
        <f>VLOOKUP(C16,Active!C$21:E$973,3,FALSE)</f>
        <v>24347.916330450753</v>
      </c>
      <c r="F16" s="3" t="s">
        <v>54</v>
      </c>
      <c r="G16" s="11" t="str">
        <f t="shared" si="4"/>
        <v>55506.6922</v>
      </c>
      <c r="H16" s="10">
        <f t="shared" si="5"/>
        <v>24348</v>
      </c>
      <c r="I16" s="49" t="s">
        <v>112</v>
      </c>
      <c r="J16" s="50" t="s">
        <v>113</v>
      </c>
      <c r="K16" s="49" t="s">
        <v>114</v>
      </c>
      <c r="L16" s="49" t="s">
        <v>115</v>
      </c>
      <c r="M16" s="50" t="s">
        <v>66</v>
      </c>
      <c r="N16" s="50" t="s">
        <v>54</v>
      </c>
      <c r="O16" s="51" t="s">
        <v>61</v>
      </c>
      <c r="P16" s="52" t="s">
        <v>116</v>
      </c>
    </row>
    <row r="17" spans="1:16" ht="12.75" customHeight="1" thickBot="1" x14ac:dyDescent="0.25">
      <c r="A17" s="10" t="str">
        <f t="shared" si="0"/>
        <v>OEJV 0107 </v>
      </c>
      <c r="B17" s="3" t="str">
        <f t="shared" si="1"/>
        <v>I</v>
      </c>
      <c r="C17" s="10">
        <f t="shared" si="2"/>
        <v>53988.464800000002</v>
      </c>
      <c r="D17" s="11" t="str">
        <f t="shared" si="3"/>
        <v>vis</v>
      </c>
      <c r="E17" s="48">
        <f>VLOOKUP(C17,Active!C$21:E$973,3,FALSE)</f>
        <v>22982.918778177518</v>
      </c>
      <c r="F17" s="3" t="s">
        <v>54</v>
      </c>
      <c r="G17" s="11" t="str">
        <f t="shared" si="4"/>
        <v>53988.4648</v>
      </c>
      <c r="H17" s="10">
        <f t="shared" si="5"/>
        <v>22983</v>
      </c>
      <c r="I17" s="49" t="s">
        <v>70</v>
      </c>
      <c r="J17" s="50" t="s">
        <v>71</v>
      </c>
      <c r="K17" s="49" t="s">
        <v>72</v>
      </c>
      <c r="L17" s="49" t="s">
        <v>73</v>
      </c>
      <c r="M17" s="50" t="s">
        <v>66</v>
      </c>
      <c r="N17" s="50" t="s">
        <v>74</v>
      </c>
      <c r="O17" s="51" t="s">
        <v>75</v>
      </c>
      <c r="P17" s="52" t="s">
        <v>76</v>
      </c>
    </row>
    <row r="18" spans="1:16" ht="12.75" customHeight="1" thickBot="1" x14ac:dyDescent="0.25">
      <c r="A18" s="10" t="str">
        <f t="shared" si="0"/>
        <v>OEJV 0107 </v>
      </c>
      <c r="B18" s="3" t="str">
        <f t="shared" si="1"/>
        <v>I</v>
      </c>
      <c r="C18" s="10">
        <f t="shared" si="2"/>
        <v>54364.407299999999</v>
      </c>
      <c r="D18" s="11" t="str">
        <f t="shared" si="3"/>
        <v>vis</v>
      </c>
      <c r="E18" s="48">
        <f>VLOOKUP(C18,Active!C$21:E$973,3,FALSE)</f>
        <v>23320.918601060097</v>
      </c>
      <c r="F18" s="3" t="s">
        <v>54</v>
      </c>
      <c r="G18" s="11" t="str">
        <f t="shared" si="4"/>
        <v>54364.4073</v>
      </c>
      <c r="H18" s="10">
        <f t="shared" si="5"/>
        <v>23321</v>
      </c>
      <c r="I18" s="49" t="s">
        <v>83</v>
      </c>
      <c r="J18" s="50" t="s">
        <v>84</v>
      </c>
      <c r="K18" s="49" t="s">
        <v>85</v>
      </c>
      <c r="L18" s="49" t="s">
        <v>86</v>
      </c>
      <c r="M18" s="50" t="s">
        <v>66</v>
      </c>
      <c r="N18" s="50" t="s">
        <v>74</v>
      </c>
      <c r="O18" s="51" t="s">
        <v>75</v>
      </c>
      <c r="P18" s="52" t="s">
        <v>76</v>
      </c>
    </row>
    <row r="19" spans="1:16" ht="12.75" customHeight="1" thickBot="1" x14ac:dyDescent="0.25">
      <c r="A19" s="10" t="str">
        <f t="shared" si="0"/>
        <v>BAVM 193 </v>
      </c>
      <c r="B19" s="3" t="str">
        <f t="shared" si="1"/>
        <v>I</v>
      </c>
      <c r="C19" s="10">
        <f t="shared" si="2"/>
        <v>54374.415699999998</v>
      </c>
      <c r="D19" s="11" t="str">
        <f t="shared" si="3"/>
        <v>vis</v>
      </c>
      <c r="E19" s="48">
        <f>VLOOKUP(C19,Active!C$21:E$973,3,FALSE)</f>
        <v>23329.916885178915</v>
      </c>
      <c r="F19" s="3" t="s">
        <v>54</v>
      </c>
      <c r="G19" s="11" t="str">
        <f t="shared" si="4"/>
        <v>54374.4157</v>
      </c>
      <c r="H19" s="10">
        <f t="shared" si="5"/>
        <v>23330</v>
      </c>
      <c r="I19" s="49" t="s">
        <v>87</v>
      </c>
      <c r="J19" s="50" t="s">
        <v>88</v>
      </c>
      <c r="K19" s="49" t="s">
        <v>89</v>
      </c>
      <c r="L19" s="49" t="s">
        <v>90</v>
      </c>
      <c r="M19" s="50" t="s">
        <v>66</v>
      </c>
      <c r="N19" s="50" t="s">
        <v>67</v>
      </c>
      <c r="O19" s="51" t="s">
        <v>91</v>
      </c>
      <c r="P19" s="52" t="s">
        <v>92</v>
      </c>
    </row>
    <row r="20" spans="1:16" ht="12.75" customHeight="1" thickBot="1" x14ac:dyDescent="0.25">
      <c r="A20" s="10" t="str">
        <f t="shared" si="0"/>
        <v>BAVM 212 </v>
      </c>
      <c r="B20" s="3" t="str">
        <f t="shared" si="1"/>
        <v>I</v>
      </c>
      <c r="C20" s="10">
        <f t="shared" si="2"/>
        <v>55029.536200000002</v>
      </c>
      <c r="D20" s="11" t="str">
        <f t="shared" si="3"/>
        <v>vis</v>
      </c>
      <c r="E20" s="48">
        <f>VLOOKUP(C20,Active!C$21:E$973,3,FALSE)</f>
        <v>23918.918163211456</v>
      </c>
      <c r="F20" s="3" t="s">
        <v>54</v>
      </c>
      <c r="G20" s="11" t="str">
        <f t="shared" si="4"/>
        <v>55029.5362</v>
      </c>
      <c r="H20" s="10">
        <f t="shared" si="5"/>
        <v>23919</v>
      </c>
      <c r="I20" s="49" t="s">
        <v>98</v>
      </c>
      <c r="J20" s="50" t="s">
        <v>99</v>
      </c>
      <c r="K20" s="49" t="s">
        <v>100</v>
      </c>
      <c r="L20" s="49" t="s">
        <v>101</v>
      </c>
      <c r="M20" s="50" t="s">
        <v>66</v>
      </c>
      <c r="N20" s="50" t="s">
        <v>67</v>
      </c>
      <c r="O20" s="51" t="s">
        <v>91</v>
      </c>
      <c r="P20" s="52" t="s">
        <v>102</v>
      </c>
    </row>
    <row r="21" spans="1:16" ht="12.75" customHeight="1" thickBot="1" x14ac:dyDescent="0.25">
      <c r="A21" s="10" t="str">
        <f t="shared" si="0"/>
        <v>BAVM 212 </v>
      </c>
      <c r="B21" s="3" t="str">
        <f t="shared" si="1"/>
        <v>I</v>
      </c>
      <c r="C21" s="10">
        <f t="shared" si="2"/>
        <v>55108.508699999998</v>
      </c>
      <c r="D21" s="11" t="str">
        <f t="shared" si="3"/>
        <v>vis</v>
      </c>
      <c r="E21" s="48">
        <f>VLOOKUP(C21,Active!C$21:E$973,3,FALSE)</f>
        <v>23989.920220740449</v>
      </c>
      <c r="F21" s="3" t="s">
        <v>54</v>
      </c>
      <c r="G21" s="11" t="str">
        <f t="shared" si="4"/>
        <v>55108.5087</v>
      </c>
      <c r="H21" s="10">
        <f t="shared" si="5"/>
        <v>23990</v>
      </c>
      <c r="I21" s="49" t="s">
        <v>103</v>
      </c>
      <c r="J21" s="50" t="s">
        <v>104</v>
      </c>
      <c r="K21" s="49" t="s">
        <v>105</v>
      </c>
      <c r="L21" s="49" t="s">
        <v>106</v>
      </c>
      <c r="M21" s="50" t="s">
        <v>66</v>
      </c>
      <c r="N21" s="50" t="s">
        <v>67</v>
      </c>
      <c r="O21" s="51" t="s">
        <v>91</v>
      </c>
      <c r="P21" s="52" t="s">
        <v>102</v>
      </c>
    </row>
    <row r="22" spans="1:16" ht="12.75" customHeight="1" thickBot="1" x14ac:dyDescent="0.25">
      <c r="A22" s="10" t="str">
        <f t="shared" si="0"/>
        <v>BAVM 225 </v>
      </c>
      <c r="B22" s="3" t="str">
        <f t="shared" si="1"/>
        <v>II</v>
      </c>
      <c r="C22" s="10">
        <f t="shared" si="2"/>
        <v>55857.6031</v>
      </c>
      <c r="D22" s="11" t="str">
        <f t="shared" si="3"/>
        <v>vis</v>
      </c>
      <c r="E22" s="48">
        <f>VLOOKUP(C22,Active!C$21:E$973,3,FALSE)</f>
        <v>24663.41091286048</v>
      </c>
      <c r="F22" s="3" t="s">
        <v>54</v>
      </c>
      <c r="G22" s="11" t="str">
        <f t="shared" si="4"/>
        <v>55857.6031</v>
      </c>
      <c r="H22" s="10">
        <f t="shared" si="5"/>
        <v>24663.5</v>
      </c>
      <c r="I22" s="49" t="s">
        <v>117</v>
      </c>
      <c r="J22" s="50" t="s">
        <v>118</v>
      </c>
      <c r="K22" s="49" t="s">
        <v>119</v>
      </c>
      <c r="L22" s="49" t="s">
        <v>120</v>
      </c>
      <c r="M22" s="50" t="s">
        <v>66</v>
      </c>
      <c r="N22" s="50" t="s">
        <v>67</v>
      </c>
      <c r="O22" s="51" t="s">
        <v>91</v>
      </c>
      <c r="P22" s="52" t="s">
        <v>121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</sheetData>
  <phoneticPr fontId="7" type="noConversion"/>
  <hyperlinks>
    <hyperlink ref="P12" r:id="rId1" display="http://www.bav-astro.de/sfs/BAVM_link.php?BAVMnr=178"/>
    <hyperlink ref="P17" r:id="rId2" display="http://var.astro.cz/oejv/issues/oejv0107.pdf"/>
    <hyperlink ref="P13" r:id="rId3" display="http://www.bav-astro.de/sfs/BAVM_link.php?BAVMnr=183"/>
    <hyperlink ref="P18" r:id="rId4" display="http://var.astro.cz/oejv/issues/oejv0107.pdf"/>
    <hyperlink ref="P19" r:id="rId5" display="http://www.bav-astro.de/sfs/BAVM_link.php?BAVMnr=193"/>
    <hyperlink ref="P14" r:id="rId6" display="http://www.bav-astro.de/sfs/BAVM_link.php?BAVMnr=209"/>
    <hyperlink ref="P20" r:id="rId7" display="http://www.bav-astro.de/sfs/BAVM_link.php?BAVMnr=212"/>
    <hyperlink ref="P21" r:id="rId8" display="http://www.bav-astro.de/sfs/BAVM_link.php?BAVMnr=212"/>
    <hyperlink ref="P15" r:id="rId9" display="http://www.bav-astro.de/sfs/BAVM_link.php?BAVMnr=215"/>
    <hyperlink ref="P16" r:id="rId10" display="http://www.konkoly.hu/cgi-bin/IBVS?5960"/>
    <hyperlink ref="P22" r:id="rId11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2024-01-19T05:11:25Z</dcterms:modified>
</cp:coreProperties>
</file>