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739D95C-D6BA-47F0-91F7-BC2CA19AF1F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lab_basic1" localSheetId="0">Active!$C$1</definedName>
  </definedNames>
  <calcPr calcId="181029"/>
</workbook>
</file>

<file path=xl/calcChain.xml><?xml version="1.0" encoding="utf-8"?>
<calcChain xmlns="http://schemas.openxmlformats.org/spreadsheetml/2006/main">
  <c r="Q30" i="1" l="1"/>
  <c r="Q29" i="1"/>
  <c r="E25" i="1"/>
  <c r="F25" i="1"/>
  <c r="C7" i="1"/>
  <c r="E30" i="1"/>
  <c r="F30" i="1"/>
  <c r="C8" i="1"/>
  <c r="C21" i="1"/>
  <c r="E21" i="1"/>
  <c r="F21" i="1"/>
  <c r="G21" i="1"/>
  <c r="H21" i="1"/>
  <c r="E24" i="1"/>
  <c r="F24" i="1"/>
  <c r="E22" i="1"/>
  <c r="F22" i="1"/>
  <c r="E26" i="1"/>
  <c r="F26" i="1"/>
  <c r="G26" i="1"/>
  <c r="K26" i="1"/>
  <c r="D9" i="1"/>
  <c r="C9" i="1"/>
  <c r="Q23" i="1"/>
  <c r="Q27" i="1"/>
  <c r="G14" i="2"/>
  <c r="C14" i="2"/>
  <c r="G17" i="2"/>
  <c r="C17" i="2"/>
  <c r="G13" i="2"/>
  <c r="C13" i="2"/>
  <c r="E13" i="2"/>
  <c r="G16" i="2"/>
  <c r="C16" i="2"/>
  <c r="E16" i="2"/>
  <c r="G12" i="2"/>
  <c r="C12" i="2"/>
  <c r="E12" i="2"/>
  <c r="G15" i="2"/>
  <c r="C15" i="2"/>
  <c r="G11" i="2"/>
  <c r="C11" i="2"/>
  <c r="E11" i="2"/>
  <c r="H14" i="2"/>
  <c r="D14" i="2"/>
  <c r="B14" i="2"/>
  <c r="A14" i="2"/>
  <c r="H17" i="2"/>
  <c r="D17" i="2"/>
  <c r="B17" i="2"/>
  <c r="A17" i="2"/>
  <c r="H13" i="2"/>
  <c r="D13" i="2"/>
  <c r="B13" i="2"/>
  <c r="A13" i="2"/>
  <c r="H16" i="2"/>
  <c r="D16" i="2"/>
  <c r="B16" i="2"/>
  <c r="A16" i="2"/>
  <c r="H12" i="2"/>
  <c r="D12" i="2"/>
  <c r="B12" i="2"/>
  <c r="A12" i="2"/>
  <c r="H15" i="2"/>
  <c r="D15" i="2"/>
  <c r="B15" i="2"/>
  <c r="A15" i="2"/>
  <c r="H11" i="2"/>
  <c r="D11" i="2"/>
  <c r="B11" i="2"/>
  <c r="A11" i="2"/>
  <c r="F16" i="1"/>
  <c r="F17" i="1" s="1"/>
  <c r="Q28" i="1"/>
  <c r="Q25" i="1"/>
  <c r="Q26" i="1"/>
  <c r="C17" i="1"/>
  <c r="Q24" i="1"/>
  <c r="Q22" i="1"/>
  <c r="Q21" i="1"/>
  <c r="E15" i="2"/>
  <c r="E14" i="2"/>
  <c r="G22" i="1"/>
  <c r="E23" i="1"/>
  <c r="F23" i="1"/>
  <c r="G23" i="1"/>
  <c r="I23" i="1"/>
  <c r="G30" i="1"/>
  <c r="K30" i="1"/>
  <c r="G24" i="1"/>
  <c r="K24" i="1"/>
  <c r="E28" i="1"/>
  <c r="F28" i="1"/>
  <c r="G28" i="1"/>
  <c r="K28" i="1"/>
  <c r="E27" i="1"/>
  <c r="F27" i="1"/>
  <c r="G27" i="1"/>
  <c r="K27" i="1"/>
  <c r="G25" i="1"/>
  <c r="K25" i="1"/>
  <c r="E29" i="1"/>
  <c r="F29" i="1"/>
  <c r="G29" i="1"/>
  <c r="K29" i="1"/>
  <c r="K22" i="1"/>
  <c r="E17" i="2"/>
  <c r="C12" i="1"/>
  <c r="C11" i="1"/>
  <c r="O22" i="1" l="1"/>
  <c r="O29" i="1"/>
  <c r="O26" i="1"/>
  <c r="O27" i="1"/>
  <c r="O25" i="1"/>
  <c r="O23" i="1"/>
  <c r="C15" i="1"/>
  <c r="F18" i="1" s="1"/>
  <c r="O30" i="1"/>
  <c r="O24" i="1"/>
  <c r="O28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<sst xmlns="http://schemas.openxmlformats.org/spreadsheetml/2006/main" count="132" uniqueCount="95">
  <si>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</si>
  <si>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</si>
  <si>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</si>
  <si>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</si>
  <si>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</si>
  <si>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</si>
  <si>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</si>
  <si>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</si>
  <si>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</si>
  <si>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</si>
  <si>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</si>
  <si>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</si>
  <si>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</si>
  <si>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</si>
  <si>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</si>
  <si>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</si>
  <si>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</si>
  <si>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</si>
  <si>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</si>
  <si>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</si>
  <si>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</si>
  <si>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</si>
  <si>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</si>
  <si>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</si>
  <si>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</si>
  <si>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</si>
  <si>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</si>
  <si>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</si>
  <si>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5583</t>
  </si>
  <si>
    <t>I</t>
  </si>
  <si>
    <t>IBVS 5543</t>
  </si>
  <si>
    <t>EA/KE</t>
  </si>
  <si>
    <t># of data points:</t>
  </si>
  <si>
    <t>NT Cas / na</t>
  </si>
  <si>
    <t>00 32 04.64 +55 27 21.1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</si>
  <si>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</si>
  <si>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</si>
  <si>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</si>
  <si>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</si>
  <si>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</si>
  <si>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</si>
  <si>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</si>
  <si>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OEJV 0094</t>
  </si>
  <si>
    <t>IBVS 6042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</si>
  <si>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</si>
  <si>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</si>
  <si>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</si>
  <si>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</si>
  <si>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</si>
  <si>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</si>
  <si>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</si>
  <si>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</si>
  <si>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</si>
  <si>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</si>
  <si>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</si>
  <si>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</si>
  <si>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</si>
  <si>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2452213.5139 </t>
  </si>
  <si>
    <t> 31.10.2001 00:20 </t>
  </si>
  <si>
    <t> 0.0405 </t>
  </si>
  <si>
    <t>E </t>
  </si>
  <si>
    <t>?</t>
  </si>
  <si>
    <t> M.Zejda </t>
  </si>
  <si>
    <t>IBVS 5583 </t>
  </si>
  <si>
    <t>2452213.5140 </t>
  </si>
  <si>
    <t> 0.0406 </t>
  </si>
  <si>
    <t> R.Diethelm </t>
  </si>
  <si>
    <t> BBS 127 </t>
  </si>
  <si>
    <t>2452981.310 </t>
  </si>
  <si>
    <t> 07.12.2003 19:26 </t>
  </si>
  <si>
    <t> 0.033 </t>
  </si>
  <si>
    <t> E.Blättler </t>
  </si>
  <si>
    <t> BBS 130 </t>
  </si>
  <si>
    <t>2454750.3931 </t>
  </si>
  <si>
    <t> 10.10.2008 21:26 </t>
  </si>
  <si>
    <t> 0.0245 </t>
  </si>
  <si>
    <t>C </t>
  </si>
  <si>
    <t> J.Trnka </t>
  </si>
  <si>
    <t>OEJV 0094 </t>
  </si>
  <si>
    <t>2454762.7376 </t>
  </si>
  <si>
    <t> 23.10.2008 05:42 </t>
  </si>
  <si>
    <t> 0.0212 </t>
  </si>
  <si>
    <t>IBVS 5871 </t>
  </si>
  <si>
    <t>2455155.6232 </t>
  </si>
  <si>
    <t> 20.11.2009 02:57 </t>
  </si>
  <si>
    <t> 0.0248 </t>
  </si>
  <si>
    <t>o</t>
  </si>
  <si>
    <t> U.Schmidt </t>
  </si>
  <si>
    <t>BAVM 212 </t>
  </si>
  <si>
    <t>2456255.6852 </t>
  </si>
  <si>
    <t> 24.11.2012 04:26 </t>
  </si>
  <si>
    <t> 0.0172 </t>
  </si>
  <si>
    <t>IBVS 6042 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</si>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</sst>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8" fillId="0" borderId="0"/>
    <xf numFmtId="0" fontId="8" fillId="0" borderId="0"/>
    <xf numFmtId="0" fontId="8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13" fillId="0" borderId="0" xfId="0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Cas - O-C Diagr.</a:t>
            </a:r>
          </a:p>
        </c:rich>
      </c:tx>
      <c:layout>
        <c:manualLayout>
          <c:xMode val="edge"/>
          <c:yMode val="edge"/>
          <c:x val="0.3780294183743994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Active!$C$21:$C$1984</c:f>
                <c:numCache>
                  <c:formatCode>General</c:formatCode>
                  <c:ptCount val="1964"/>
                  <c:pt idx="0">
                    <c:v>28054.598000000002</c:v>
                  </c:pt>
                  <c:pt idx="1">
                    <c:v>52213.513899999998</c:v>
                  </c:pt>
                  <c:pt idx="2">
                    <c:v>52213.514000000003</c:v>
                  </c:pt>
                  <c:pt idx="3">
                    <c:v>52981.31</c:v>
                  </c:pt>
                  <c:pt idx="4">
                    <c:v>54750.393170000003</c:v>
                  </c:pt>
                  <c:pt idx="5">
                    <c:v>54762.7376</c:v>
                  </c:pt>
                  <c:pt idx="6">
                    <c:v>55155.623200000002</c:v>
                  </c:pt>
                  <c:pt idx="7">
                    <c:v>56255.6852</c:v>
                  </c:pt>
                  <c:pt idx="8">
                    <c:v>57645.356540000001</c:v>
                  </c:pt>
                  <c:pt idx="9">
                    <c:v>57984.355659999885</c:v>
                  </c:pt>
                </c:numCache>
              </c:numRef>
            </c:plus>
            <c:minus>
              <c:numRef>
                <c:f>Active!$C$21:$C$1984</c:f>
                <c:numCache>
                  <c:formatCode>General</c:formatCode>
                  <c:ptCount val="1964"/>
                  <c:pt idx="0">
                    <c:v>28054.598000000002</c:v>
                  </c:pt>
                  <c:pt idx="1">
                    <c:v>52213.513899999998</c:v>
                  </c:pt>
                  <c:pt idx="2">
                    <c:v>52213.514000000003</c:v>
                  </c:pt>
                  <c:pt idx="3">
                    <c:v>52981.31</c:v>
                  </c:pt>
                  <c:pt idx="4">
                    <c:v>54750.393170000003</c:v>
                  </c:pt>
                  <c:pt idx="5">
                    <c:v>54762.7376</c:v>
                  </c:pt>
                  <c:pt idx="6">
                    <c:v>55155.623200000002</c:v>
                  </c:pt>
                  <c:pt idx="7">
                    <c:v>56255.6852</c:v>
                  </c:pt>
                  <c:pt idx="8">
                    <c:v>57645.356540000001</c:v>
                  </c:pt>
                  <c:pt idx="9">
                    <c:v>57984.355659999885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88-4746-86AA-9AC05D69A0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Active!$D$21:$D$102</c:f>
                <c:numCache>
                  <c:formatCode>General</c:formatCode>
                  <c:ptCount val="82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Active!$D$21:$D$102</c:f>
                <c:numCache>
                  <c:formatCode>General</c:formatCode>
                  <c:ptCount val="82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2">
                  <c:v>4.056000000127824E-2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88-4746-86AA-9AC05D69A0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88-4746-86AA-9AC05D69A0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4.0459999996528495E-2</c:v>
                </c:pt>
                <c:pt idx="3">
                  <c:v>3.2879999998840503E-2</c:v>
                </c:pt>
                <c:pt idx="4">
                  <c:v>2.4530000002414454E-2</c:v>
                </c:pt>
                <c:pt idx="5">
                  <c:v>2.1239999994577374E-2</c:v>
                </c:pt>
                <c:pt idx="6">
                  <c:v>2.4839999998221174E-2</c:v>
                </c:pt>
                <c:pt idx="7">
                  <c:v>1.7239999993762467E-2</c:v>
                </c:pt>
                <c:pt idx="8">
                  <c:v>8.8199999954667874E-3</c:v>
                </c:pt>
                <c:pt idx="9">
                  <c:v>6.8999998838989995E-3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88-4746-86AA-9AC05D69A0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88-4746-86AA-9AC05D69A0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88-4746-86AA-9AC05D69A0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88-4746-86AA-9AC05D69A0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0.17512220266665218</c:v>
                </c:pt>
                <c:pt idx="1">
                  <c:v>3.919290403554368E-2</c:v>
                </c:pt>
                <c:pt idx="2">
                  <c:v>3.919290403554368E-2</c:v>
                </c:pt>
                <c:pt idx="3">
                  <c:v>3.4872876144842135E-2</c:v>
                </c:pt>
                <c:pt idx="4">
                  <c:v>2.4919127671529845E-2</c:v>
                </c:pt>
                <c:pt idx="5">
                  <c:v>2.4849653538784655E-2</c:v>
                </c:pt>
                <c:pt idx="6">
                  <c:v>2.263911295143739E-2</c:v>
                </c:pt>
                <c:pt idx="7">
                  <c:v>1.6449599306865015E-2</c:v>
                </c:pt>
                <c:pt idx="8">
                  <c:v>8.630601457905257E-3</c:v>
                </c:pt>
                <c:pt idx="9">
                  <c:v>6.7232207225370322E-3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88-4746-86AA-9AC05D69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522216"/>
        <c:axId val="1"/>
      </c:scatterChart>
      <c:valAx>
        <c:axId val="69552221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522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6318335813839"/>
          <c:y val="0.92073298764483702"/>
          <c:w val="0.6607436429089337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Cas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Active!$C$21:$C$1984</c:f>
                <c:numCache>
                  <c:formatCode>General</c:formatCode>
                  <c:ptCount val="1964"/>
                  <c:pt idx="0">
                    <c:v>28054.598000000002</c:v>
                  </c:pt>
                  <c:pt idx="1">
                    <c:v>52213.513899999998</c:v>
                  </c:pt>
                  <c:pt idx="2">
                    <c:v>52213.514000000003</c:v>
                  </c:pt>
                  <c:pt idx="3">
                    <c:v>52981.31</c:v>
                  </c:pt>
                  <c:pt idx="4">
                    <c:v>54750.393170000003</c:v>
                  </c:pt>
                  <c:pt idx="5">
                    <c:v>54762.7376</c:v>
                  </c:pt>
                  <c:pt idx="6">
                    <c:v>55155.623200000002</c:v>
                  </c:pt>
                  <c:pt idx="7">
                    <c:v>56255.6852</c:v>
                  </c:pt>
                  <c:pt idx="8">
                    <c:v>57645.356540000001</c:v>
                  </c:pt>
                  <c:pt idx="9">
                    <c:v>57984.355659999885</c:v>
                  </c:pt>
                </c:numCache>
              </c:numRef>
            </c:plus>
            <c:minus>
              <c:numRef>
                <c:f>Active!$C$21:$C$1984</c:f>
                <c:numCache>
                  <c:formatCode>General</c:formatCode>
                  <c:ptCount val="1964"/>
                  <c:pt idx="0">
                    <c:v>28054.598000000002</c:v>
                  </c:pt>
                  <c:pt idx="1">
                    <c:v>52213.513899999998</c:v>
                  </c:pt>
                  <c:pt idx="2">
                    <c:v>52213.514000000003</c:v>
                  </c:pt>
                  <c:pt idx="3">
                    <c:v>52981.31</c:v>
                  </c:pt>
                  <c:pt idx="4">
                    <c:v>54750.393170000003</c:v>
                  </c:pt>
                  <c:pt idx="5">
                    <c:v>54762.7376</c:v>
                  </c:pt>
                  <c:pt idx="6">
                    <c:v>55155.623200000002</c:v>
                  </c:pt>
                  <c:pt idx="7">
                    <c:v>56255.6852</c:v>
                  </c:pt>
                  <c:pt idx="8">
                    <c:v>57645.356540000001</c:v>
                  </c:pt>
                  <c:pt idx="9">
                    <c:v>57984.355659999885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42-4088-9E33-0FB11310C5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Active!$D$21:$D$102</c:f>
                <c:numCache>
                  <c:formatCode>General</c:formatCode>
                  <c:ptCount val="82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Active!$D$21:$D$102</c:f>
                <c:numCache>
                  <c:formatCode>General</c:formatCode>
                  <c:ptCount val="82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2">
                  <c:v>4.056000000127824E-2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42-4088-9E33-0FB11310C5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1E-3</c:v>
                  </c:pt>
                  <c:pt idx="1">
                    <c:v>7.3000000000000001E-3</c:v>
                  </c:pt>
                  <c:pt idx="2">
                    <c:v>0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3.0000000000000003E-4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42-4088-9E33-0FB11310C5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4.0459999996528495E-2</c:v>
                </c:pt>
                <c:pt idx="3">
                  <c:v>3.2879999998840503E-2</c:v>
                </c:pt>
                <c:pt idx="4">
                  <c:v>2.4530000002414454E-2</c:v>
                </c:pt>
                <c:pt idx="5">
                  <c:v>2.1239999994577374E-2</c:v>
                </c:pt>
                <c:pt idx="6">
                  <c:v>2.4839999998221174E-2</c:v>
                </c:pt>
                <c:pt idx="7">
                  <c:v>1.7239999993762467E-2</c:v>
                </c:pt>
                <c:pt idx="8">
                  <c:v>8.8199999954667874E-3</c:v>
                </c:pt>
                <c:pt idx="9">
                  <c:v>6.8999998838989995E-3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42-4088-9E33-0FB11310C5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42-4088-9E33-0FB11310C5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42-4088-9E33-0FB11310C5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42-4088-9E33-0FB11310C5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21522</c:v>
                </c:pt>
                <c:pt idx="2">
                  <c:v>21522</c:v>
                </c:pt>
                <c:pt idx="3">
                  <c:v>22206</c:v>
                </c:pt>
                <c:pt idx="4">
                  <c:v>23782</c:v>
                </c:pt>
                <c:pt idx="5">
                  <c:v>23793</c:v>
                </c:pt>
                <c:pt idx="6">
                  <c:v>24143</c:v>
                </c:pt>
                <c:pt idx="7">
                  <c:v>25123</c:v>
                </c:pt>
                <c:pt idx="8">
                  <c:v>26361</c:v>
                </c:pt>
                <c:pt idx="9">
                  <c:v>26663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0.17512220266665218</c:v>
                </c:pt>
                <c:pt idx="1">
                  <c:v>3.919290403554368E-2</c:v>
                </c:pt>
                <c:pt idx="2">
                  <c:v>3.919290403554368E-2</c:v>
                </c:pt>
                <c:pt idx="3">
                  <c:v>3.4872876144842135E-2</c:v>
                </c:pt>
                <c:pt idx="4">
                  <c:v>2.4919127671529845E-2</c:v>
                </c:pt>
                <c:pt idx="5">
                  <c:v>2.4849653538784655E-2</c:v>
                </c:pt>
                <c:pt idx="6">
                  <c:v>2.263911295143739E-2</c:v>
                </c:pt>
                <c:pt idx="7">
                  <c:v>1.6449599306865015E-2</c:v>
                </c:pt>
                <c:pt idx="8">
                  <c:v>8.630601457905257E-3</c:v>
                </c:pt>
                <c:pt idx="9">
                  <c:v>6.7232207225370322E-3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42-4088-9E33-0FB11310C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527616"/>
        <c:axId val="1"/>
      </c:scatterChart>
      <c:valAx>
        <c:axId val="69552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2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527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51612903225806"/>
          <c:y val="0.92097264437689974"/>
          <c:w val="0.659677419354838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18</xdr:col>
      <xdr:colOff>200025</xdr:colOff>
      <xdr:row>18</xdr:row>
      <xdr:rowOff>47624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260DAEB-2A13-38E4-A632-CC98C8613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476250</xdr:colOff>
      <xdr:row>0</xdr:row>
      <xdr:rowOff>47625</xdr:rowOff>
    </xdr:from>
    <xdr:to>
      <xdr:col>27</xdr:col>
      <xdr:colOff>209550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F56D2F6-3258-777D-0CA1-4E2C4AC85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583" TargetMode="External"/><Relationship Id="rId5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E11" sqref="E11: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  <c r="C1" s="15" t="s">
        <v>34</v>
      </c>
    </row>
    <row r="2" spans="1:6">
      <c r="A2" t="s">
        <v>24</v>
      </c>
      <c r="B2" s="14" t="s">
        <v>31</v>
      </c>
    </row>
    <row r="3" spans="1:6" ht="13.5" thickBot="1"/>
    <row r="4" spans="1:6" ht="14.25" thickTop="1" thickBot="1">
      <c r="A4" s="7" t="s">
        <v>0</v>
      </c>
      <c r="C4" s="3">
        <v>28054.598000000002</v>
      </c>
      <c r="D4" s="4">
        <v>1.12252</v>
      </c>
    </row>
    <row r="5" spans="1:6" ht="13.5" thickTop="1">
      <c r="A5" s="16" t="s">
        <v>35</v>
      </c>
      <c r="B5" s="17"/>
      <c r="C5" s="18">
        <v>-9.5</v>
      </c>
      <c r="D5" s="17" t="s">
        <v>36</v>
      </c>
    </row>
    <row r="6" spans="1:6">
      <c r="A6" s="7" t="s">
        <v>1</v>
      </c>
    </row>
    <row r="7" spans="1:6">
      <c r="A7" t="s">
        <v>2</v>
      </c>
      <c r="C7">
        <f>+C4</f>
        <v>28054.598000000002</v>
      </c>
    </row>
    <row r="8" spans="1:6">
      <c r="A8" t="s">
        <v>3</v>
      </c>
      <c r="C8">
        <f>+D4</f>
        <v>1.12252</v>
      </c>
    </row>
    <row r="9" spans="1:6">
      <c r="A9" s="31" t="s">
        <v>40</v>
      </c>
      <c r="B9" s="32">
        <v>22</v>
      </c>
      <c r="C9" s="20" t="str">
        <f>"F"&amp;B9</f>
        <v>F22</v>
      </c>
      <c r="D9" s="21" t="str">
        <f>"G"&amp;B9</f>
        <v>G22</v>
      </c>
    </row>
    <row r="10" spans="1:6" ht="13.5" thickBot="1">
      <c r="A10" s="17"/>
      <c r="B10" s="17"/>
      <c r="C10" s="6" t="s">
        <v>20</v>
      </c>
      <c r="D10" s="6" t="s">
        <v>21</v>
      </c>
      <c r="E10" s="17"/>
    </row>
    <row r="11" spans="1:6">
      <c r="A11" s="17" t="s">
        <v>16</v>
      </c>
      <c r="B11" s="17"/>
      <c r="C11" s="19">
        <f ca="1">INTERCEPT(INDIRECT($D$9):G989,INDIRECT($C$9):F989)</f>
        <v>0.17512220266665218</v>
      </c>
      <c r="D11" s="5"/>
      <c r="E11" s="17"/>
    </row>
    <row r="12" spans="1:6">
      <c r="A12" s="17" t="s">
        <v>17</v>
      </c>
      <c r="B12" s="17"/>
      <c r="C12" s="19">
        <f ca="1">SLOPE(INDIRECT($D$9):G989,INDIRECT($C$9):F989)</f>
        <v>-6.3158302495636332E-6</v>
      </c>
      <c r="D12" s="5"/>
      <c r="E12" s="17"/>
    </row>
    <row r="13" spans="1:6">
      <c r="A13" s="17" t="s">
        <v>19</v>
      </c>
      <c r="B13" s="17"/>
      <c r="C13" s="5" t="s">
        <v>14</v>
      </c>
    </row>
    <row r="14" spans="1:6">
      <c r="A14" s="17"/>
      <c r="B14" s="17"/>
      <c r="C14" s="17"/>
    </row>
    <row r="15" spans="1:6">
      <c r="A15" s="22" t="s">
        <v>18</v>
      </c>
      <c r="B15" s="17"/>
      <c r="C15" s="23">
        <f ca="1">(C7+C11)+(C8+C12)*INT(MAX(F21:F3530))</f>
        <v>57984.355483220723</v>
      </c>
      <c r="E15" s="24" t="s">
        <v>44</v>
      </c>
      <c r="F15" s="18">
        <v>1</v>
      </c>
    </row>
    <row r="16" spans="1:6">
      <c r="A16" s="26" t="s">
        <v>4</v>
      </c>
      <c r="B16" s="17"/>
      <c r="C16" s="27">
        <f ca="1">+C8+C12</f>
        <v>1.1225136841697505</v>
      </c>
      <c r="E16" s="24" t="s">
        <v>37</v>
      </c>
      <c r="F16" s="25">
        <f ca="1">NOW()+15018.5+$C$5/24</f>
        <v>60328.760693634256</v>
      </c>
    </row>
    <row r="17" spans="1:17" ht="13.5" thickBot="1">
      <c r="A17" s="24" t="s">
        <v>32</v>
      </c>
      <c r="B17" s="17"/>
      <c r="C17" s="17">
        <f>COUNT(C21:C2188)</f>
        <v>10</v>
      </c>
      <c r="E17" s="24" t="s">
        <v>45</v>
      </c>
      <c r="F17" s="25">
        <f ca="1">ROUND(2*(F16-$C$7)/$C$8,0)/2+F15</f>
        <v>28752.5</v>
      </c>
    </row>
    <row r="18" spans="1:17" ht="14.25" thickTop="1" thickBot="1">
      <c r="A18" s="26" t="s">
        <v>5</v>
      </c>
      <c r="B18" s="17"/>
      <c r="C18" s="29">
        <f ca="1">+C15</f>
        <v>57984.355483220723</v>
      </c>
      <c r="D18" s="30">
        <f ca="1">+C16</f>
        <v>1.1225136841697505</v>
      </c>
      <c r="E18" s="24" t="s">
        <v>38</v>
      </c>
      <c r="F18" s="21">
        <f ca="1">ROUND(2*(F16-$C$15)/$C$16,0)/2+F15</f>
        <v>2089.5</v>
      </c>
    </row>
    <row r="19" spans="1:17" ht="13.5" thickTop="1">
      <c r="E19" s="24" t="s">
        <v>39</v>
      </c>
      <c r="F19" s="28">
        <f ca="1">+$C$15+$C$16*F18-15018.5-$C$5/24</f>
        <v>45311.743659626751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53</v>
      </c>
      <c r="I20" s="9" t="s">
        <v>56</v>
      </c>
      <c r="J20" s="9" t="s">
        <v>50</v>
      </c>
      <c r="K20" s="9" t="s">
        <v>48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>
      <c r="A21" t="s">
        <v>12</v>
      </c>
      <c r="C21" s="33">
        <f>+C4</f>
        <v>28054.598000000002</v>
      </c>
      <c r="D21" s="33">
        <v>1E-3</v>
      </c>
      <c r="E21">
        <f t="shared" ref="E21:E28" si="0">+(C21-C$7)/C$8</f>
        <v>0</v>
      </c>
      <c r="F21">
        <f t="shared" ref="F21:F30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+C$11+C$12*F21</f>
        <v>0.17512220266665218</v>
      </c>
      <c r="Q21" s="2">
        <f t="shared" ref="Q21:Q28" si="4">+C21-15018.5</f>
        <v>13036.098000000002</v>
      </c>
    </row>
    <row r="22" spans="1:17">
      <c r="A22" s="10" t="s">
        <v>28</v>
      </c>
      <c r="B22" s="11" t="s">
        <v>29</v>
      </c>
      <c r="C22" s="10">
        <v>52213.513899999998</v>
      </c>
      <c r="D22" s="10">
        <v>7.3000000000000001E-3</v>
      </c>
      <c r="E22">
        <f t="shared" si="0"/>
        <v>21522.036043901218</v>
      </c>
      <c r="F22">
        <f t="shared" si="1"/>
        <v>21522</v>
      </c>
      <c r="G22">
        <f t="shared" si="2"/>
        <v>4.0459999996528495E-2</v>
      </c>
      <c r="K22">
        <f>+G22</f>
        <v>4.0459999996528495E-2</v>
      </c>
      <c r="O22">
        <f t="shared" ca="1" si="3"/>
        <v>3.919290403554368E-2</v>
      </c>
      <c r="Q22" s="2">
        <f t="shared" si="4"/>
        <v>37195.013899999998</v>
      </c>
    </row>
    <row r="23" spans="1:17">
      <c r="A23" s="50" t="s">
        <v>67</v>
      </c>
      <c r="B23" s="51" t="s">
        <v>29</v>
      </c>
      <c r="C23" s="50">
        <v>52213.514000000003</v>
      </c>
      <c r="D23" s="50" t="s">
        <v>56</v>
      </c>
      <c r="E23">
        <f t="shared" si="0"/>
        <v>21522.036132986497</v>
      </c>
      <c r="F23">
        <f t="shared" si="1"/>
        <v>21522</v>
      </c>
      <c r="G23">
        <f t="shared" si="2"/>
        <v>4.056000000127824E-2</v>
      </c>
      <c r="I23">
        <f>+G23</f>
        <v>4.056000000127824E-2</v>
      </c>
      <c r="O23">
        <f t="shared" ca="1" si="3"/>
        <v>3.919290403554368E-2</v>
      </c>
      <c r="Q23" s="2">
        <f t="shared" si="4"/>
        <v>37195.014000000003</v>
      </c>
    </row>
    <row r="24" spans="1:17">
      <c r="A24" s="12" t="s">
        <v>30</v>
      </c>
      <c r="B24" s="13" t="s">
        <v>29</v>
      </c>
      <c r="C24" s="12">
        <v>52981.31</v>
      </c>
      <c r="D24" s="34">
        <v>2E-3</v>
      </c>
      <c r="E24">
        <f t="shared" si="0"/>
        <v>22206.02929123757</v>
      </c>
      <c r="F24">
        <f t="shared" si="1"/>
        <v>22206</v>
      </c>
      <c r="G24">
        <f t="shared" si="2"/>
        <v>3.2879999998840503E-2</v>
      </c>
      <c r="K24">
        <f t="shared" ref="K24:K29" si="5">+G24</f>
        <v>3.2879999998840503E-2</v>
      </c>
      <c r="O24">
        <f t="shared" ca="1" si="3"/>
        <v>3.4872876144842135E-2</v>
      </c>
      <c r="Q24" s="2">
        <f t="shared" si="4"/>
        <v>37962.81</v>
      </c>
    </row>
    <row r="25" spans="1:17">
      <c r="A25" s="35" t="s">
        <v>42</v>
      </c>
      <c r="B25" s="36" t="s">
        <v>29</v>
      </c>
      <c r="C25" s="35">
        <v>54750.393170000003</v>
      </c>
      <c r="D25" s="35">
        <v>5.0000000000000001E-4</v>
      </c>
      <c r="E25">
        <f t="shared" si="0"/>
        <v>23782.021852617327</v>
      </c>
      <c r="F25">
        <f t="shared" si="1"/>
        <v>23782</v>
      </c>
      <c r="G25">
        <f t="shared" si="2"/>
        <v>2.4530000002414454E-2</v>
      </c>
      <c r="K25">
        <f t="shared" si="5"/>
        <v>2.4530000002414454E-2</v>
      </c>
      <c r="O25">
        <f t="shared" ca="1" si="3"/>
        <v>2.4919127671529845E-2</v>
      </c>
      <c r="Q25" s="2">
        <f t="shared" si="4"/>
        <v>39731.893170000003</v>
      </c>
    </row>
    <row r="26" spans="1:17">
      <c r="A26" s="35" t="s">
        <v>41</v>
      </c>
      <c r="B26" s="5" t="s">
        <v>29</v>
      </c>
      <c r="C26" s="35">
        <v>54762.7376</v>
      </c>
      <c r="D26" s="35">
        <v>5.0000000000000001E-4</v>
      </c>
      <c r="E26">
        <f t="shared" si="0"/>
        <v>23793.01892171186</v>
      </c>
      <c r="F26">
        <f t="shared" si="1"/>
        <v>23793</v>
      </c>
      <c r="G26">
        <f t="shared" si="2"/>
        <v>2.1239999994577374E-2</v>
      </c>
      <c r="K26">
        <f t="shared" si="5"/>
        <v>2.1239999994577374E-2</v>
      </c>
      <c r="O26">
        <f t="shared" ca="1" si="3"/>
        <v>2.4849653538784655E-2</v>
      </c>
      <c r="Q26" s="2">
        <f t="shared" si="4"/>
        <v>39744.2376</v>
      </c>
    </row>
    <row r="27" spans="1:17">
      <c r="A27" s="50" t="s">
        <v>88</v>
      </c>
      <c r="B27" s="51" t="s">
        <v>29</v>
      </c>
      <c r="C27" s="50">
        <v>55155.623200000002</v>
      </c>
      <c r="D27" s="50" t="s">
        <v>56</v>
      </c>
      <c r="E27">
        <f t="shared" si="0"/>
        <v>24143.022128781671</v>
      </c>
      <c r="F27">
        <f t="shared" si="1"/>
        <v>24143</v>
      </c>
      <c r="G27">
        <f t="shared" si="2"/>
        <v>2.4839999998221174E-2</v>
      </c>
      <c r="K27">
        <f t="shared" si="5"/>
        <v>2.4839999998221174E-2</v>
      </c>
      <c r="O27">
        <f t="shared" ca="1" si="3"/>
        <v>2.263911295143739E-2</v>
      </c>
      <c r="Q27" s="2">
        <f t="shared" si="4"/>
        <v>40137.123200000002</v>
      </c>
    </row>
    <row r="28" spans="1:17">
      <c r="A28" s="52" t="s">
        <v>43</v>
      </c>
      <c r="B28" s="53" t="s">
        <v>29</v>
      </c>
      <c r="C28" s="54">
        <v>56255.6852</v>
      </c>
      <c r="D28" s="54">
        <v>3.0000000000000003E-4</v>
      </c>
      <c r="E28">
        <f t="shared" si="0"/>
        <v>25123.015358300963</v>
      </c>
      <c r="F28">
        <f t="shared" si="1"/>
        <v>25123</v>
      </c>
      <c r="G28">
        <f t="shared" si="2"/>
        <v>1.7239999993762467E-2</v>
      </c>
      <c r="K28">
        <f t="shared" si="5"/>
        <v>1.7239999993762467E-2</v>
      </c>
      <c r="O28">
        <f t="shared" ca="1" si="3"/>
        <v>1.6449599306865015E-2</v>
      </c>
      <c r="Q28" s="2">
        <f t="shared" si="4"/>
        <v>41237.1852</v>
      </c>
    </row>
    <row r="29" spans="1:17">
      <c r="A29" s="55" t="s">
        <v>93</v>
      </c>
      <c r="B29" s="56" t="s">
        <v>29</v>
      </c>
      <c r="C29" s="57">
        <v>57645.356540000001</v>
      </c>
      <c r="D29" s="57">
        <v>2.9999999999999997E-4</v>
      </c>
      <c r="E29">
        <f>+(C29-C$7)/C$8</f>
        <v>26361.007857321027</v>
      </c>
      <c r="F29">
        <f t="shared" si="1"/>
        <v>26361</v>
      </c>
      <c r="G29">
        <f>+C29-(C$7+F29*C$8)</f>
        <v>8.8199999954667874E-3</v>
      </c>
      <c r="K29">
        <f t="shared" si="5"/>
        <v>8.8199999954667874E-3</v>
      </c>
      <c r="O29">
        <f ca="1">+C$11+C$12*F29</f>
        <v>8.630601457905257E-3</v>
      </c>
      <c r="Q29" s="2">
        <f>+C29-15018.5</f>
        <v>42626.856540000001</v>
      </c>
    </row>
    <row r="30" spans="1:17">
      <c r="A30" s="58" t="s">
        <v>94</v>
      </c>
      <c r="B30" s="59" t="s">
        <v>29</v>
      </c>
      <c r="C30" s="60">
        <v>57984.355659999885</v>
      </c>
      <c r="D30" s="60">
        <v>2.9999999999999997E-4</v>
      </c>
      <c r="E30">
        <f>+(C30-C$7)/C$8</f>
        <v>26663.006146883694</v>
      </c>
      <c r="F30">
        <f t="shared" si="1"/>
        <v>26663</v>
      </c>
      <c r="G30">
        <f>+C30-(C$7+F30*C$8)</f>
        <v>6.8999998838989995E-3</v>
      </c>
      <c r="K30">
        <f>+G30</f>
        <v>6.8999998838989995E-3</v>
      </c>
      <c r="O30">
        <f ca="1">+C$11+C$12*F30</f>
        <v>6.7232207225370322E-3</v>
      </c>
      <c r="Q30" s="2">
        <f>+C30-15018.5</f>
        <v>42965.855659999885</v>
      </c>
    </row>
    <row r="31" spans="1:17">
      <c r="D31" s="5"/>
    </row>
    <row r="32" spans="1:17">
      <c r="D32" s="5"/>
    </row>
    <row r="33" spans="4:4">
      <c r="D33" s="5"/>
    </row>
    <row r="34" spans="4:4">
      <c r="D34" s="5"/>
    </row>
    <row r="35" spans="4:4">
      <c r="D35" s="5"/>
    </row>
    <row r="36" spans="4:4">
      <c r="D36" s="5"/>
    </row>
  </sheetData>
  <protectedRanges>
    <protectedRange sqref="A30:D30" name="Range1"/>
  </protectedRanges>
  <phoneticPr fontId="7" type="noConversion"/>
  <hyperlinks>
    <hyperlink ref="H237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workbookViewId="0">
      <selection activeCell="A15" sqref="A15:D17"/>
    </sheetView>
  </sheetViews>
  <sheetFormatPr defaultRowHeight="12.75"/>
  <cols>
    <col min="1" max="1" width="19.7109375" style="33" customWidth="1"/>
    <col min="2" max="2" width="4.42578125" style="17" customWidth="1"/>
    <col min="3" max="3" width="12.7109375" style="33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33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7" t="s">
        <v>46</v>
      </c>
      <c r="I1" s="38" t="s">
        <v>47</v>
      </c>
      <c r="J1" s="39" t="s">
        <v>48</v>
      </c>
    </row>
    <row r="2" spans="1:16">
      <c r="I2" s="40" t="s">
        <v>49</v>
      </c>
      <c r="J2" s="41" t="s">
        <v>50</v>
      </c>
    </row>
    <row r="3" spans="1:16">
      <c r="A3" s="42" t="s">
        <v>51</v>
      </c>
      <c r="I3" s="40" t="s">
        <v>52</v>
      </c>
      <c r="J3" s="41" t="s">
        <v>53</v>
      </c>
    </row>
    <row r="4" spans="1:16">
      <c r="I4" s="40" t="s">
        <v>54</v>
      </c>
      <c r="J4" s="41" t="s">
        <v>53</v>
      </c>
    </row>
    <row r="5" spans="1:16" ht="13.5" thickBot="1">
      <c r="I5" s="43" t="s">
        <v>55</v>
      </c>
      <c r="J5" s="44" t="s">
        <v>56</v>
      </c>
    </row>
    <row r="10" spans="1:16" ht="13.5" thickBot="1"/>
    <row r="11" spans="1:16" ht="12.75" customHeight="1" thickBot="1">
      <c r="A11" s="33" t="str">
        <f t="shared" ref="A11:A17" si="0">P11</f>
        <v>IBVS 5583 </v>
      </c>
      <c r="B11" s="5" t="str">
        <f t="shared" ref="B11:B17" si="1">IF(H11=INT(H11),"I","II")</f>
        <v>I</v>
      </c>
      <c r="C11" s="33">
        <f t="shared" ref="C11:C17" si="2">1*G11</f>
        <v>52213.513899999998</v>
      </c>
      <c r="D11" s="17" t="str">
        <f t="shared" ref="D11:D17" si="3">VLOOKUP(F11,I$1:J$5,2,FALSE)</f>
        <v>vis</v>
      </c>
      <c r="E11" s="45">
        <f>VLOOKUP(C11,Active!C$21:E$972,3,FALSE)</f>
        <v>21522.036043901218</v>
      </c>
      <c r="F11" s="5" t="s">
        <v>55</v>
      </c>
      <c r="G11" s="17" t="str">
        <f t="shared" ref="G11:G17" si="4">MID(I11,3,LEN(I11)-3)</f>
        <v>52213.5139</v>
      </c>
      <c r="H11" s="33">
        <f t="shared" ref="H11:H17" si="5">1*K11</f>
        <v>21522</v>
      </c>
      <c r="I11" s="46" t="s">
        <v>57</v>
      </c>
      <c r="J11" s="47" t="s">
        <v>58</v>
      </c>
      <c r="K11" s="46">
        <v>21522</v>
      </c>
      <c r="L11" s="46" t="s">
        <v>59</v>
      </c>
      <c r="M11" s="47" t="s">
        <v>60</v>
      </c>
      <c r="N11" s="47" t="s">
        <v>61</v>
      </c>
      <c r="O11" s="48" t="s">
        <v>62</v>
      </c>
      <c r="P11" s="49" t="s">
        <v>63</v>
      </c>
    </row>
    <row r="12" spans="1:16" ht="12.75" customHeight="1" thickBot="1">
      <c r="A12" s="33" t="str">
        <f t="shared" si="0"/>
        <v> BBS 130 </v>
      </c>
      <c r="B12" s="5" t="str">
        <f t="shared" si="1"/>
        <v>I</v>
      </c>
      <c r="C12" s="33">
        <f t="shared" si="2"/>
        <v>52981.31</v>
      </c>
      <c r="D12" s="17" t="str">
        <f t="shared" si="3"/>
        <v>vis</v>
      </c>
      <c r="E12" s="45">
        <f>VLOOKUP(C12,Active!C$21:E$972,3,FALSE)</f>
        <v>22206.02929123757</v>
      </c>
      <c r="F12" s="5" t="s">
        <v>55</v>
      </c>
      <c r="G12" s="17" t="str">
        <f t="shared" si="4"/>
        <v>52981.310</v>
      </c>
      <c r="H12" s="33">
        <f t="shared" si="5"/>
        <v>22206</v>
      </c>
      <c r="I12" s="46" t="s">
        <v>68</v>
      </c>
      <c r="J12" s="47" t="s">
        <v>69</v>
      </c>
      <c r="K12" s="46">
        <v>22206</v>
      </c>
      <c r="L12" s="46" t="s">
        <v>70</v>
      </c>
      <c r="M12" s="47" t="s">
        <v>60</v>
      </c>
      <c r="N12" s="47" t="s">
        <v>61</v>
      </c>
      <c r="O12" s="48" t="s">
        <v>71</v>
      </c>
      <c r="P12" s="48" t="s">
        <v>72</v>
      </c>
    </row>
    <row r="13" spans="1:16" ht="12.75" customHeight="1" thickBot="1">
      <c r="A13" s="33" t="str">
        <f t="shared" si="0"/>
        <v>IBVS 5871 </v>
      </c>
      <c r="B13" s="5" t="str">
        <f t="shared" si="1"/>
        <v>I</v>
      </c>
      <c r="C13" s="33">
        <f t="shared" si="2"/>
        <v>54762.7376</v>
      </c>
      <c r="D13" s="17" t="str">
        <f t="shared" si="3"/>
        <v>vis</v>
      </c>
      <c r="E13" s="45">
        <f>VLOOKUP(C13,Active!C$21:E$972,3,FALSE)</f>
        <v>23793.01892171186</v>
      </c>
      <c r="F13" s="5" t="s">
        <v>55</v>
      </c>
      <c r="G13" s="17" t="str">
        <f t="shared" si="4"/>
        <v>54762.7376</v>
      </c>
      <c r="H13" s="33">
        <f t="shared" si="5"/>
        <v>23793</v>
      </c>
      <c r="I13" s="46" t="s">
        <v>79</v>
      </c>
      <c r="J13" s="47" t="s">
        <v>80</v>
      </c>
      <c r="K13" s="46">
        <v>23793</v>
      </c>
      <c r="L13" s="46" t="s">
        <v>81</v>
      </c>
      <c r="M13" s="47" t="s">
        <v>76</v>
      </c>
      <c r="N13" s="47" t="s">
        <v>55</v>
      </c>
      <c r="O13" s="48" t="s">
        <v>66</v>
      </c>
      <c r="P13" s="49" t="s">
        <v>82</v>
      </c>
    </row>
    <row r="14" spans="1:16" ht="12.75" customHeight="1" thickBot="1">
      <c r="A14" s="33" t="str">
        <f t="shared" si="0"/>
        <v>IBVS 6042 </v>
      </c>
      <c r="B14" s="5" t="str">
        <f t="shared" si="1"/>
        <v>I</v>
      </c>
      <c r="C14" s="33">
        <f t="shared" si="2"/>
        <v>56255.6852</v>
      </c>
      <c r="D14" s="17" t="str">
        <f t="shared" si="3"/>
        <v>vis</v>
      </c>
      <c r="E14" s="45">
        <f>VLOOKUP(C14,Active!C$21:E$972,3,FALSE)</f>
        <v>25123.015358300963</v>
      </c>
      <c r="F14" s="5" t="s">
        <v>55</v>
      </c>
      <c r="G14" s="17" t="str">
        <f t="shared" si="4"/>
        <v>56255.6852</v>
      </c>
      <c r="H14" s="33">
        <f t="shared" si="5"/>
        <v>25123</v>
      </c>
      <c r="I14" s="46" t="s">
        <v>89</v>
      </c>
      <c r="J14" s="47" t="s">
        <v>90</v>
      </c>
      <c r="K14" s="46">
        <v>25123</v>
      </c>
      <c r="L14" s="46" t="s">
        <v>91</v>
      </c>
      <c r="M14" s="47" t="s">
        <v>76</v>
      </c>
      <c r="N14" s="47" t="s">
        <v>55</v>
      </c>
      <c r="O14" s="48" t="s">
        <v>66</v>
      </c>
      <c r="P14" s="49" t="s">
        <v>92</v>
      </c>
    </row>
    <row r="15" spans="1:16" ht="12.75" customHeight="1" thickBot="1">
      <c r="A15" s="33" t="str">
        <f t="shared" si="0"/>
        <v> BBS 127 </v>
      </c>
      <c r="B15" s="5" t="str">
        <f t="shared" si="1"/>
        <v>I</v>
      </c>
      <c r="C15" s="33">
        <f t="shared" si="2"/>
        <v>52213.514000000003</v>
      </c>
      <c r="D15" s="17" t="str">
        <f t="shared" si="3"/>
        <v>vis</v>
      </c>
      <c r="E15" s="45">
        <f>VLOOKUP(C15,Active!C$21:E$972,3,FALSE)</f>
        <v>21522.036132986497</v>
      </c>
      <c r="F15" s="5" t="s">
        <v>55</v>
      </c>
      <c r="G15" s="17" t="str">
        <f t="shared" si="4"/>
        <v>52213.5140</v>
      </c>
      <c r="H15" s="33">
        <f t="shared" si="5"/>
        <v>21522</v>
      </c>
      <c r="I15" s="46" t="s">
        <v>64</v>
      </c>
      <c r="J15" s="47" t="s">
        <v>58</v>
      </c>
      <c r="K15" s="46">
        <v>21522</v>
      </c>
      <c r="L15" s="46" t="s">
        <v>65</v>
      </c>
      <c r="M15" s="47" t="s">
        <v>60</v>
      </c>
      <c r="N15" s="47" t="s">
        <v>61</v>
      </c>
      <c r="O15" s="48" t="s">
        <v>66</v>
      </c>
      <c r="P15" s="48" t="s">
        <v>67</v>
      </c>
    </row>
    <row r="16" spans="1:16" ht="12.75" customHeight="1" thickBot="1">
      <c r="A16" s="33" t="str">
        <f t="shared" si="0"/>
        <v>OEJV 0094 </v>
      </c>
      <c r="B16" s="5" t="str">
        <f t="shared" si="1"/>
        <v>I</v>
      </c>
      <c r="C16" s="33">
        <f t="shared" si="2"/>
        <v>54750.393100000001</v>
      </c>
      <c r="D16" s="17" t="str">
        <f t="shared" si="3"/>
        <v>vis</v>
      </c>
      <c r="E16" s="45" t="e">
        <f>VLOOKUP(C16,Active!C$21:E$972,3,FALSE)</f>
        <v>#N/A</v>
      </c>
      <c r="F16" s="5" t="s">
        <v>55</v>
      </c>
      <c r="G16" s="17" t="str">
        <f t="shared" si="4"/>
        <v>54750.3931</v>
      </c>
      <c r="H16" s="33">
        <f t="shared" si="5"/>
        <v>23782</v>
      </c>
      <c r="I16" s="46" t="s">
        <v>73</v>
      </c>
      <c r="J16" s="47" t="s">
        <v>74</v>
      </c>
      <c r="K16" s="46">
        <v>23782</v>
      </c>
      <c r="L16" s="46" t="s">
        <v>75</v>
      </c>
      <c r="M16" s="47" t="s">
        <v>76</v>
      </c>
      <c r="N16" s="47" t="s">
        <v>47</v>
      </c>
      <c r="O16" s="48" t="s">
        <v>77</v>
      </c>
      <c r="P16" s="49" t="s">
        <v>78</v>
      </c>
    </row>
    <row r="17" spans="1:16" ht="12.75" customHeight="1" thickBot="1">
      <c r="A17" s="33" t="str">
        <f t="shared" si="0"/>
        <v>BAVM 212 </v>
      </c>
      <c r="B17" s="5" t="str">
        <f t="shared" si="1"/>
        <v>I</v>
      </c>
      <c r="C17" s="33">
        <f t="shared" si="2"/>
        <v>55155.623200000002</v>
      </c>
      <c r="D17" s="17" t="str">
        <f t="shared" si="3"/>
        <v>vis</v>
      </c>
      <c r="E17" s="45">
        <f>VLOOKUP(C17,Active!C$21:E$972,3,FALSE)</f>
        <v>24143.022128781671</v>
      </c>
      <c r="F17" s="5" t="s">
        <v>55</v>
      </c>
      <c r="G17" s="17" t="str">
        <f t="shared" si="4"/>
        <v>55155.6232</v>
      </c>
      <c r="H17" s="33">
        <f t="shared" si="5"/>
        <v>24143</v>
      </c>
      <c r="I17" s="46" t="s">
        <v>83</v>
      </c>
      <c r="J17" s="47" t="s">
        <v>84</v>
      </c>
      <c r="K17" s="46">
        <v>24143</v>
      </c>
      <c r="L17" s="46" t="s">
        <v>85</v>
      </c>
      <c r="M17" s="47" t="s">
        <v>76</v>
      </c>
      <c r="N17" s="47" t="s">
        <v>86</v>
      </c>
      <c r="O17" s="48" t="s">
        <v>87</v>
      </c>
      <c r="P17" s="49" t="s">
        <v>88</v>
      </c>
    </row>
    <row r="18" spans="1:16">
      <c r="B18" s="5"/>
      <c r="F18" s="5"/>
    </row>
    <row r="19" spans="1:16">
      <c r="B19" s="5"/>
      <c r="F19" s="5"/>
    </row>
    <row r="20" spans="1:16">
      <c r="B20" s="5"/>
      <c r="F20" s="5"/>
    </row>
    <row r="21" spans="1:16">
      <c r="B21" s="5"/>
      <c r="F21" s="5"/>
    </row>
    <row r="22" spans="1:16">
      <c r="B22" s="5"/>
      <c r="F22" s="5"/>
    </row>
    <row r="23" spans="1:16">
      <c r="B23" s="5"/>
      <c r="F23" s="5"/>
    </row>
    <row r="24" spans="1:16">
      <c r="B24" s="5"/>
      <c r="F24" s="5"/>
    </row>
    <row r="25" spans="1:16">
      <c r="B25" s="5"/>
      <c r="F25" s="5"/>
    </row>
    <row r="26" spans="1:16">
      <c r="B26" s="5"/>
      <c r="F26" s="5"/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</sheetData>
  <phoneticPr fontId="7" type="noConversion"/>
  <hyperlinks>
    <hyperlink ref="P11" r:id="rId1" display="http://www.konkoly.hu/cgi-bin/IBVS?5583"/>
    <hyperlink ref="P16" r:id="rId2" display="http://var.astro.cz/oejv/issues/oejv0094.pdf"/>
    <hyperlink ref="P13" r:id="rId3" display="http://www.konkoly.hu/cgi-bin/IBVS?5871"/>
    <hyperlink ref="P17" r:id="rId4" display="http://www.bav-astro.de/sfs/BAVM_link.php?BAVMnr=212"/>
    <hyperlink ref="P14" r:id="rId5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Active</vt:lpstr>
      <vt:lpstr>BAV</vt:lpstr>
      <vt:lpstr>Active!lab_basic1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2024-01-19T05:15:23Z</dcterms:modified>
</cp:coreProperties>
</file>