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A8E1FB-0AC4-4295-90C9-24E19C90DC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4" i="1" l="1"/>
  <c r="Q35" i="1"/>
  <c r="D9" i="1"/>
  <c r="C9" i="1"/>
  <c r="G18" i="2"/>
  <c r="C18" i="2"/>
  <c r="E18" i="2"/>
  <c r="G17" i="2"/>
  <c r="C17" i="2"/>
  <c r="E17" i="2"/>
  <c r="G12" i="2"/>
  <c r="C12" i="2"/>
  <c r="G16" i="2"/>
  <c r="C16" i="2"/>
  <c r="E16" i="2"/>
  <c r="G15" i="2"/>
  <c r="C15" i="2"/>
  <c r="E15" i="2"/>
  <c r="G14" i="2"/>
  <c r="C14" i="2"/>
  <c r="E14" i="2"/>
  <c r="G13" i="2"/>
  <c r="C13" i="2"/>
  <c r="E13" i="2"/>
  <c r="G11" i="2"/>
  <c r="C11" i="2"/>
  <c r="H18" i="2"/>
  <c r="B18" i="2"/>
  <c r="D18" i="2"/>
  <c r="A18" i="2"/>
  <c r="H17" i="2"/>
  <c r="D17" i="2"/>
  <c r="B17" i="2"/>
  <c r="A17" i="2"/>
  <c r="H12" i="2"/>
  <c r="B12" i="2"/>
  <c r="D12" i="2"/>
  <c r="A12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1" i="2"/>
  <c r="D11" i="2"/>
  <c r="B11" i="2"/>
  <c r="A11" i="2"/>
  <c r="Q30" i="1"/>
  <c r="Q31" i="1"/>
  <c r="Q32" i="1"/>
  <c r="Q33" i="1"/>
  <c r="F16" i="1"/>
  <c r="C17" i="1"/>
  <c r="Q28" i="1"/>
  <c r="Q29" i="1"/>
  <c r="Q23" i="1"/>
  <c r="Q24" i="1"/>
  <c r="Q25" i="1"/>
  <c r="Q26" i="1"/>
  <c r="Q27" i="1"/>
  <c r="Q22" i="1"/>
  <c r="C7" i="1"/>
  <c r="E34" i="1"/>
  <c r="F34" i="1"/>
  <c r="C8" i="1"/>
  <c r="Q21" i="1"/>
  <c r="E11" i="2"/>
  <c r="G29" i="1"/>
  <c r="K29" i="1"/>
  <c r="E27" i="1"/>
  <c r="F27" i="1"/>
  <c r="E32" i="1"/>
  <c r="F32" i="1"/>
  <c r="E24" i="1"/>
  <c r="F24" i="1"/>
  <c r="G31" i="1"/>
  <c r="K31" i="1"/>
  <c r="E29" i="1"/>
  <c r="F29" i="1"/>
  <c r="E22" i="1"/>
  <c r="F22" i="1"/>
  <c r="G22" i="1"/>
  <c r="E26" i="1"/>
  <c r="F26" i="1"/>
  <c r="G26" i="1"/>
  <c r="K26" i="1"/>
  <c r="E35" i="1"/>
  <c r="F35" i="1"/>
  <c r="G35" i="1"/>
  <c r="K35" i="1"/>
  <c r="E31" i="1"/>
  <c r="F31" i="1"/>
  <c r="E23" i="1"/>
  <c r="F23" i="1"/>
  <c r="G23" i="1"/>
  <c r="K23" i="1"/>
  <c r="E28" i="1"/>
  <c r="F28" i="1"/>
  <c r="G28" i="1"/>
  <c r="K28" i="1"/>
  <c r="G34" i="1"/>
  <c r="K34" i="1"/>
  <c r="E33" i="1"/>
  <c r="F33" i="1"/>
  <c r="G33" i="1"/>
  <c r="K33" i="1"/>
  <c r="G27" i="1"/>
  <c r="K27" i="1"/>
  <c r="E25" i="1"/>
  <c r="F25" i="1"/>
  <c r="G25" i="1"/>
  <c r="K25" i="1"/>
  <c r="G32" i="1"/>
  <c r="K32" i="1"/>
  <c r="E30" i="1"/>
  <c r="F30" i="1"/>
  <c r="G30" i="1"/>
  <c r="K30" i="1"/>
  <c r="G24" i="1"/>
  <c r="K24" i="1"/>
  <c r="E21" i="1"/>
  <c r="F21" i="1"/>
  <c r="G21" i="1"/>
  <c r="H21" i="1"/>
  <c r="I22" i="1"/>
  <c r="E12" i="2"/>
  <c r="C11" i="1"/>
  <c r="C12" i="1"/>
  <c r="C16" i="1" l="1"/>
  <c r="D18" i="1" s="1"/>
  <c r="O25" i="1"/>
  <c r="O32" i="1"/>
  <c r="O22" i="1"/>
  <c r="O24" i="1"/>
  <c r="O26" i="1"/>
  <c r="O21" i="1"/>
  <c r="O27" i="1"/>
  <c r="C15" i="1"/>
  <c r="F18" i="1" s="1"/>
  <c r="O34" i="1"/>
  <c r="O33" i="1"/>
  <c r="O31" i="1"/>
  <c r="O29" i="1"/>
  <c r="O35" i="1"/>
  <c r="O30" i="1"/>
  <c r="O23" i="1"/>
  <c r="O28" i="1"/>
  <c r="F17" i="1"/>
  <c r="F19" i="1" l="1"/>
  <c r="C18" i="1"/>
</calcChain>
</file>

<file path=xl/sharedStrings.xml><?xml version="1.0" encoding="utf-8"?>
<sst xmlns="http://schemas.openxmlformats.org/spreadsheetml/2006/main" count="149" uniqueCount="90">
  <si>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</si>
  <si>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</si>
  <si>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</si>
  <si>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</si>
  <si>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</si>
  <si>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</si>
  <si>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</si>
  <si>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</si>
  <si>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</si>
  <si>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</si>
  <si>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</si>
  <si>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</si>
  <si>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</si>
  <si>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</si>
  <si>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</si>
  <si>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</si>
  <si>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</si>
  <si>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</si>
  <si>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</si>
  <si>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</si>
  <si>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</si>
  <si>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</si>
  <si>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</si>
  <si>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</si>
  <si>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</si>
  <si>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</si>
  <si>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Bull.114</t>
  </si>
  <si>
    <t>B</t>
  </si>
  <si>
    <t># of data points:</t>
  </si>
  <si>
    <t>OQ Cas / GSC 04016-00741</t>
  </si>
  <si>
    <t>EA</t>
  </si>
  <si>
    <t>OEJV 0107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</si>
  <si>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</si>
  <si>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</si>
  <si>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</si>
  <si>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</si>
  <si>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</si>
  <si>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</si>
  <si>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</si>
  <si>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0137</t>
  </si>
  <si>
    <t>Add cycle</t>
  </si>
  <si>
    <t>Old Cycle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</si>
  <si>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</si>
  <si>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</si>
  <si>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</si>
  <si>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</si>
  <si>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</si>
  <si>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</si>
  <si>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</si>
  <si>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</si>
  <si>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</si>
  <si>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</si>
  <si>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</si>
  <si>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</si>
  <si>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2450463.304 </t>
  </si>
  <si>
    <t> 14.01.1997 19:17 </t>
  </si>
  <si>
    <t> -0.010 </t>
  </si>
  <si>
    <t>E </t>
  </si>
  <si>
    <t>?</t>
  </si>
  <si>
    <t> R.Diethelm </t>
  </si>
  <si>
    <t> BBS 114 </t>
  </si>
  <si>
    <t>2453990.4790 </t>
  </si>
  <si>
    <t> 11.09.2006 23:29 </t>
  </si>
  <si>
    <t> -0.0535 </t>
  </si>
  <si>
    <t>C </t>
  </si>
  <si>
    <t>R</t>
  </si>
  <si>
    <t> M.Lehky </t>
  </si>
  <si>
    <t>OEJV 0107 </t>
  </si>
  <si>
    <t>2453993.3458 </t>
  </si>
  <si>
    <t> 14.09.2006 20:17 </t>
  </si>
  <si>
    <t>2454003.3794 </t>
  </si>
  <si>
    <t> 24.09.2006 21:06 </t>
  </si>
  <si>
    <t> -0.0536 </t>
  </si>
  <si>
    <t>2454008.3958 </t>
  </si>
  <si>
    <t> 29.09.2006 21:29 </t>
  </si>
  <si>
    <t> -0.0541 </t>
  </si>
  <si>
    <t>2454721.4919 </t>
  </si>
  <si>
    <t> 11.09.2008 23:48 </t>
  </si>
  <si>
    <t> -0.0703 </t>
  </si>
  <si>
    <t>2455093.4475 </t>
  </si>
  <si>
    <t> 18.09.2009 22:44 </t>
  </si>
  <si>
    <t> -0.0799 </t>
  </si>
  <si>
    <t>OEJV 0137 </t>
  </si>
  <si>
    <t>2455409.5030 </t>
  </si>
  <si>
    <t> 01.08.2010 00:04 </t>
  </si>
  <si>
    <t> -0.0872 </t>
  </si>
  <si>
    <t>s5</t>
  </si>
  <si>
    <t>s6</t>
  </si>
  <si>
    <t>s7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</si>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</sst>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Cas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47941700774088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2-4B2A-AA9D-156F9FA884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-1.0144200001377612E-2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D2-4B2A-AA9D-156F9FA884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D2-4B2A-AA9D-156F9FA884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-5.3503899995121174E-2</c:v>
                </c:pt>
                <c:pt idx="3">
                  <c:v>-5.3447099999175407E-2</c:v>
                </c:pt>
                <c:pt idx="4">
                  <c:v>-5.3608299996994901E-2</c:v>
                </c:pt>
                <c:pt idx="5">
                  <c:v>-5.403890000161482E-2</c:v>
                </c:pt>
                <c:pt idx="6">
                  <c:v>-7.0339899997634348E-2</c:v>
                </c:pt>
                <c:pt idx="7">
                  <c:v>-7.9820099992502946E-2</c:v>
                </c:pt>
                <c:pt idx="8">
                  <c:v>-8.712789999844972E-2</c:v>
                </c:pt>
                <c:pt idx="9">
                  <c:v>-0.11068269999668701</c:v>
                </c:pt>
                <c:pt idx="10">
                  <c:v>-0.1102727000034065</c:v>
                </c:pt>
                <c:pt idx="11">
                  <c:v>-0.11035550000087824</c:v>
                </c:pt>
                <c:pt idx="12">
                  <c:v>-0.10994550000032177</c:v>
                </c:pt>
                <c:pt idx="13">
                  <c:v>-0.11708729999372736</c:v>
                </c:pt>
                <c:pt idx="14">
                  <c:v>-0.1169372999938787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D2-4B2A-AA9D-156F9FA884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D2-4B2A-AA9D-156F9FA884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D2-4B2A-AA9D-156F9FA884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D2-4B2A-AA9D-156F9FA884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0.38681011297604179</c:v>
                </c:pt>
                <c:pt idx="1">
                  <c:v>2.944031452467688E-3</c:v>
                </c:pt>
                <c:pt idx="2">
                  <c:v>-6.0453965803086873E-2</c:v>
                </c:pt>
                <c:pt idx="3">
                  <c:v>-6.0505493180720127E-2</c:v>
                </c:pt>
                <c:pt idx="4">
                  <c:v>-6.0685839002436626E-2</c:v>
                </c:pt>
                <c:pt idx="5">
                  <c:v>-6.0776011913294903E-2</c:v>
                </c:pt>
                <c:pt idx="6">
                  <c:v>-7.3593447099574827E-2</c:v>
                </c:pt>
                <c:pt idx="7">
                  <c:v>-8.0279124347493735E-2</c:v>
                </c:pt>
                <c:pt idx="8">
                  <c:v>-8.5960017731563532E-2</c:v>
                </c:pt>
                <c:pt idx="9">
                  <c:v>-0.10729235207174403</c:v>
                </c:pt>
                <c:pt idx="10">
                  <c:v>-0.10729235207174403</c:v>
                </c:pt>
                <c:pt idx="11">
                  <c:v>-0.10814255380269328</c:v>
                </c:pt>
                <c:pt idx="12">
                  <c:v>-0.10814255380269328</c:v>
                </c:pt>
                <c:pt idx="13">
                  <c:v>-0.11356581029859664</c:v>
                </c:pt>
                <c:pt idx="14">
                  <c:v>-0.11356581029859664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D2-4B2A-AA9D-156F9FA88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962616"/>
        <c:axId val="1"/>
      </c:scatterChart>
      <c:valAx>
        <c:axId val="688962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96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36385327867073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Cas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69252958613219"/>
          <c:w val="0.7747941700774088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2-4C6F-AF6C-04C8866B084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-1.0144200001377612E-2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52-4C6F-AF6C-04C8866B08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52-4C6F-AF6C-04C8866B08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-5.3503899995121174E-2</c:v>
                </c:pt>
                <c:pt idx="3">
                  <c:v>-5.3447099999175407E-2</c:v>
                </c:pt>
                <c:pt idx="4">
                  <c:v>-5.3608299996994901E-2</c:v>
                </c:pt>
                <c:pt idx="5">
                  <c:v>-5.403890000161482E-2</c:v>
                </c:pt>
                <c:pt idx="6">
                  <c:v>-7.0339899997634348E-2</c:v>
                </c:pt>
                <c:pt idx="7">
                  <c:v>-7.9820099992502946E-2</c:v>
                </c:pt>
                <c:pt idx="8">
                  <c:v>-8.712789999844972E-2</c:v>
                </c:pt>
                <c:pt idx="9">
                  <c:v>-0.11068269999668701</c:v>
                </c:pt>
                <c:pt idx="10">
                  <c:v>-0.1102727000034065</c:v>
                </c:pt>
                <c:pt idx="11">
                  <c:v>-0.11035550000087824</c:v>
                </c:pt>
                <c:pt idx="12">
                  <c:v>-0.10994550000032177</c:v>
                </c:pt>
                <c:pt idx="13">
                  <c:v>-0.11708729999372736</c:v>
                </c:pt>
                <c:pt idx="14">
                  <c:v>-0.1169372999938787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52-4C6F-AF6C-04C8866B08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52-4C6F-AF6C-04C8866B08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52-4C6F-AF6C-04C8866B08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52-4C6F-AF6C-04C8866B08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29799</c:v>
                </c:pt>
                <c:pt idx="2">
                  <c:v>34720.5</c:v>
                </c:pt>
                <c:pt idx="3">
                  <c:v>34724.5</c:v>
                </c:pt>
                <c:pt idx="4">
                  <c:v>34738.5</c:v>
                </c:pt>
                <c:pt idx="5">
                  <c:v>34745.5</c:v>
                </c:pt>
                <c:pt idx="6">
                  <c:v>35740.5</c:v>
                </c:pt>
                <c:pt idx="7">
                  <c:v>36259.5</c:v>
                </c:pt>
                <c:pt idx="8">
                  <c:v>36700.5</c:v>
                </c:pt>
                <c:pt idx="9">
                  <c:v>38356.5</c:v>
                </c:pt>
                <c:pt idx="10">
                  <c:v>38356.5</c:v>
                </c:pt>
                <c:pt idx="11">
                  <c:v>38422.5</c:v>
                </c:pt>
                <c:pt idx="12">
                  <c:v>38422.5</c:v>
                </c:pt>
                <c:pt idx="13">
                  <c:v>38843.5</c:v>
                </c:pt>
                <c:pt idx="14">
                  <c:v>38843.5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0.38681011297604179</c:v>
                </c:pt>
                <c:pt idx="1">
                  <c:v>2.944031452467688E-3</c:v>
                </c:pt>
                <c:pt idx="2">
                  <c:v>-6.0453965803086873E-2</c:v>
                </c:pt>
                <c:pt idx="3">
                  <c:v>-6.0505493180720127E-2</c:v>
                </c:pt>
                <c:pt idx="4">
                  <c:v>-6.0685839002436626E-2</c:v>
                </c:pt>
                <c:pt idx="5">
                  <c:v>-6.0776011913294903E-2</c:v>
                </c:pt>
                <c:pt idx="6">
                  <c:v>-7.3593447099574827E-2</c:v>
                </c:pt>
                <c:pt idx="7">
                  <c:v>-8.0279124347493735E-2</c:v>
                </c:pt>
                <c:pt idx="8">
                  <c:v>-8.5960017731563532E-2</c:v>
                </c:pt>
                <c:pt idx="9">
                  <c:v>-0.10729235207174403</c:v>
                </c:pt>
                <c:pt idx="10">
                  <c:v>-0.10729235207174403</c:v>
                </c:pt>
                <c:pt idx="11">
                  <c:v>-0.10814255380269328</c:v>
                </c:pt>
                <c:pt idx="12">
                  <c:v>-0.10814255380269328</c:v>
                </c:pt>
                <c:pt idx="13">
                  <c:v>-0.11356581029859664</c:v>
                </c:pt>
                <c:pt idx="14">
                  <c:v>-0.11356581029859664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52-4C6F-AF6C-04C8866B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962616"/>
        <c:axId val="1"/>
      </c:scatterChart>
      <c:valAx>
        <c:axId val="688962616"/>
        <c:scaling>
          <c:orientation val="minMax"/>
          <c:min val="2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96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36385327867073"/>
          <c:y val="0.92000129214617399"/>
          <c:w val="0.8388438428667490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0</xdr:rowOff>
    </xdr:from>
    <xdr:to>
      <xdr:col>17</xdr:col>
      <xdr:colOff>47624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DB21868-C22E-F5FC-999E-6B21FA131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85725</xdr:rowOff>
    </xdr:from>
    <xdr:to>
      <xdr:col>26</xdr:col>
      <xdr:colOff>542925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CFB854-0416-4E66-B2C9-0D659FBEF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var.astro.cz/oejv/issues/oejv0107.pdf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29</v>
      </c>
    </row>
    <row r="2" spans="1:6">
      <c r="A2" t="s">
        <v>24</v>
      </c>
      <c r="B2" s="11" t="s">
        <v>30</v>
      </c>
    </row>
    <row r="4" spans="1:6" ht="14.25" thickTop="1" thickBot="1">
      <c r="A4" s="6" t="s">
        <v>0</v>
      </c>
      <c r="C4" s="3">
        <v>29106.495999999999</v>
      </c>
      <c r="D4" s="4">
        <v>0.71669579999999999</v>
      </c>
    </row>
    <row r="5" spans="1:6" ht="13.5" thickTop="1">
      <c r="A5" s="12" t="s">
        <v>33</v>
      </c>
      <c r="B5" s="13"/>
      <c r="C5" s="14">
        <v>-9.5</v>
      </c>
      <c r="D5" s="13" t="s">
        <v>34</v>
      </c>
    </row>
    <row r="6" spans="1:6">
      <c r="A6" s="6" t="s">
        <v>1</v>
      </c>
    </row>
    <row r="7" spans="1:6">
      <c r="A7" t="s">
        <v>2</v>
      </c>
      <c r="C7">
        <f>+C4</f>
        <v>29106.495999999999</v>
      </c>
    </row>
    <row r="8" spans="1:6">
      <c r="A8" t="s">
        <v>3</v>
      </c>
      <c r="C8">
        <f>+D4</f>
        <v>0.71669579999999999</v>
      </c>
    </row>
    <row r="9" spans="1:6">
      <c r="A9" s="28" t="s">
        <v>38</v>
      </c>
      <c r="B9" s="29">
        <v>22</v>
      </c>
      <c r="C9" s="17" t="str">
        <f>"F"&amp;B9</f>
        <v>F22</v>
      </c>
      <c r="D9" s="18" t="str">
        <f>"G"&amp;B9</f>
        <v>G22</v>
      </c>
    </row>
    <row r="10" spans="1:6" ht="13.5" thickBot="1">
      <c r="A10" s="13"/>
      <c r="B10" s="13"/>
      <c r="C10" s="5" t="s">
        <v>20</v>
      </c>
      <c r="D10" s="5" t="s">
        <v>21</v>
      </c>
      <c r="E10" s="13"/>
    </row>
    <row r="11" spans="1:6">
      <c r="A11" s="13" t="s">
        <v>16</v>
      </c>
      <c r="B11" s="13"/>
      <c r="C11" s="15">
        <f ca="1">INTERCEPT(INDIRECT($D$9):G992,INDIRECT($C$9):F992)</f>
        <v>0.38681011297604179</v>
      </c>
      <c r="D11" s="16"/>
      <c r="E11" s="13"/>
    </row>
    <row r="12" spans="1:6">
      <c r="A12" s="13" t="s">
        <v>17</v>
      </c>
      <c r="B12" s="13"/>
      <c r="C12" s="15">
        <f ca="1">SLOPE(INDIRECT($D$9):G992,INDIRECT($C$9):F992)</f>
        <v>-1.2881844408321558E-5</v>
      </c>
      <c r="D12" s="16"/>
      <c r="E12" s="13"/>
    </row>
    <row r="13" spans="1:6">
      <c r="A13" s="13" t="s">
        <v>19</v>
      </c>
      <c r="B13" s="13"/>
      <c r="C13" s="16" t="s">
        <v>14</v>
      </c>
    </row>
    <row r="14" spans="1:6">
      <c r="A14" s="13"/>
      <c r="B14" s="13"/>
      <c r="C14" s="13"/>
    </row>
    <row r="15" spans="1:6">
      <c r="A15" s="19" t="s">
        <v>18</v>
      </c>
      <c r="B15" s="13"/>
      <c r="C15" s="20">
        <f ca="1">(C7+C11)+(C8+C12)*INT(MAX(F21:F3533))</f>
        <v>56944.997400030625</v>
      </c>
      <c r="E15" s="21" t="s">
        <v>40</v>
      </c>
      <c r="F15" s="14">
        <v>1</v>
      </c>
    </row>
    <row r="16" spans="1:6">
      <c r="A16" s="23" t="s">
        <v>4</v>
      </c>
      <c r="B16" s="13"/>
      <c r="C16" s="24">
        <f ca="1">+C8+C12</f>
        <v>0.71668291815559171</v>
      </c>
      <c r="E16" s="21" t="s">
        <v>35</v>
      </c>
      <c r="F16" s="22">
        <f ca="1">NOW()+15018.5+$C$5/24</f>
        <v>60328.763379629629</v>
      </c>
    </row>
    <row r="17" spans="1:31" ht="13.5" thickBot="1">
      <c r="A17" s="21" t="s">
        <v>28</v>
      </c>
      <c r="B17" s="13"/>
      <c r="C17" s="13">
        <f>COUNT(C21:C2191)</f>
        <v>15</v>
      </c>
      <c r="E17" s="21" t="s">
        <v>41</v>
      </c>
      <c r="F17" s="22">
        <f ca="1">ROUND(2*(F16-$C$7)/$C$8,0)/2+F15</f>
        <v>43565</v>
      </c>
    </row>
    <row r="18" spans="1:31" ht="14.25" thickTop="1" thickBot="1">
      <c r="A18" s="23" t="s">
        <v>5</v>
      </c>
      <c r="B18" s="13"/>
      <c r="C18" s="26">
        <f ca="1">+C15</f>
        <v>56944.997400030625</v>
      </c>
      <c r="D18" s="27">
        <f ca="1">+C16</f>
        <v>0.71668291815559171</v>
      </c>
      <c r="E18" s="21" t="s">
        <v>36</v>
      </c>
      <c r="F18" s="18">
        <f ca="1">ROUND(2*(F16-$C$15)/$C$16,0)/2+F15</f>
        <v>4722.5</v>
      </c>
    </row>
    <row r="19" spans="1:31" ht="13.5" thickTop="1">
      <c r="E19" s="21" t="s">
        <v>37</v>
      </c>
      <c r="F19" s="25">
        <f ca="1">+$C$15+$C$16*F18-15018.5-$C$5/24</f>
        <v>45311.42831435374</v>
      </c>
    </row>
    <row r="20" spans="1:3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50</v>
      </c>
      <c r="I20" s="8" t="s">
        <v>53</v>
      </c>
      <c r="J20" s="8" t="s">
        <v>47</v>
      </c>
      <c r="K20" s="8" t="s">
        <v>45</v>
      </c>
      <c r="L20" s="8" t="s">
        <v>86</v>
      </c>
      <c r="M20" s="8" t="s">
        <v>87</v>
      </c>
      <c r="N20" s="8" t="s">
        <v>88</v>
      </c>
      <c r="O20" s="8" t="s">
        <v>23</v>
      </c>
      <c r="P20" s="7" t="s">
        <v>22</v>
      </c>
      <c r="Q20" s="5" t="s">
        <v>15</v>
      </c>
    </row>
    <row r="21" spans="1:31">
      <c r="A21" t="s">
        <v>12</v>
      </c>
      <c r="C21" s="9">
        <v>29106.495999999999</v>
      </c>
      <c r="D21" s="9" t="s">
        <v>14</v>
      </c>
      <c r="E21">
        <f t="shared" ref="E21:E33" si="0">+(C21-C$7)/C$8</f>
        <v>0</v>
      </c>
      <c r="F21">
        <f t="shared" ref="F21:F35" si="1">ROUND(2*E21,0)/2</f>
        <v>0</v>
      </c>
      <c r="G21">
        <f t="shared" ref="G21:G33" si="2">+C21-(C$7+F21*C$8)</f>
        <v>0</v>
      </c>
      <c r="H21">
        <f>+G21</f>
        <v>0</v>
      </c>
      <c r="O21">
        <f t="shared" ref="O21:O33" ca="1" si="3">+C$11+C$12*F21</f>
        <v>0.38681011297604179</v>
      </c>
      <c r="Q21" s="2">
        <f t="shared" ref="Q21:Q33" si="4">+C21-15018.5</f>
        <v>14087.995999999999</v>
      </c>
    </row>
    <row r="22" spans="1:31">
      <c r="A22" t="s">
        <v>26</v>
      </c>
      <c r="C22" s="10">
        <v>50463.303999999996</v>
      </c>
      <c r="D22" s="9">
        <v>4.0000000000000001E-3</v>
      </c>
      <c r="E22">
        <f t="shared" si="0"/>
        <v>29798.985845877705</v>
      </c>
      <c r="F22">
        <f t="shared" si="1"/>
        <v>29799</v>
      </c>
      <c r="G22">
        <f t="shared" si="2"/>
        <v>-1.0144200001377612E-2</v>
      </c>
      <c r="I22">
        <f>+G22</f>
        <v>-1.0144200001377612E-2</v>
      </c>
      <c r="O22">
        <f t="shared" ca="1" si="3"/>
        <v>2.944031452467688E-3</v>
      </c>
      <c r="Q22" s="2">
        <f t="shared" si="4"/>
        <v>35444.803999999996</v>
      </c>
      <c r="AA22">
        <v>14</v>
      </c>
      <c r="AC22" t="s">
        <v>25</v>
      </c>
      <c r="AE22" t="s">
        <v>27</v>
      </c>
    </row>
    <row r="23" spans="1:31">
      <c r="A23" s="30" t="s">
        <v>31</v>
      </c>
      <c r="B23" s="31" t="s">
        <v>32</v>
      </c>
      <c r="C23" s="32">
        <v>53990.479019999999</v>
      </c>
      <c r="D23" s="32">
        <v>2.0000000000000001E-4</v>
      </c>
      <c r="E23">
        <f t="shared" si="0"/>
        <v>34720.4253464301</v>
      </c>
      <c r="F23">
        <f t="shared" si="1"/>
        <v>34720.5</v>
      </c>
      <c r="G23">
        <f t="shared" si="2"/>
        <v>-5.3503899995121174E-2</v>
      </c>
      <c r="K23">
        <f t="shared" ref="K23:K33" si="5">+G23</f>
        <v>-5.3503899995121174E-2</v>
      </c>
      <c r="O23">
        <f t="shared" ca="1" si="3"/>
        <v>-6.0453965803086873E-2</v>
      </c>
      <c r="Q23" s="2">
        <f t="shared" si="4"/>
        <v>38971.979019999999</v>
      </c>
    </row>
    <row r="24" spans="1:31">
      <c r="A24" s="30" t="s">
        <v>31</v>
      </c>
      <c r="B24" s="31" t="s">
        <v>32</v>
      </c>
      <c r="C24" s="32">
        <v>53993.345860000001</v>
      </c>
      <c r="D24" s="32">
        <v>2.9999999999999997E-4</v>
      </c>
      <c r="E24">
        <f t="shared" si="0"/>
        <v>34724.425425682697</v>
      </c>
      <c r="F24">
        <f t="shared" si="1"/>
        <v>34724.5</v>
      </c>
      <c r="G24">
        <f t="shared" si="2"/>
        <v>-5.3447099999175407E-2</v>
      </c>
      <c r="K24">
        <f t="shared" si="5"/>
        <v>-5.3447099999175407E-2</v>
      </c>
      <c r="O24">
        <f t="shared" ca="1" si="3"/>
        <v>-6.0505493180720127E-2</v>
      </c>
      <c r="Q24" s="2">
        <f t="shared" si="4"/>
        <v>38974.845860000001</v>
      </c>
    </row>
    <row r="25" spans="1:31">
      <c r="A25" s="30" t="s">
        <v>31</v>
      </c>
      <c r="B25" s="31" t="s">
        <v>32</v>
      </c>
      <c r="C25" s="32">
        <v>54003.379439999997</v>
      </c>
      <c r="D25" s="32">
        <v>5.0000000000000001E-4</v>
      </c>
      <c r="E25">
        <f t="shared" si="0"/>
        <v>34738.425200761601</v>
      </c>
      <c r="F25">
        <f t="shared" si="1"/>
        <v>34738.5</v>
      </c>
      <c r="G25">
        <f t="shared" si="2"/>
        <v>-5.3608299996994901E-2</v>
      </c>
      <c r="K25">
        <f t="shared" si="5"/>
        <v>-5.3608299996994901E-2</v>
      </c>
      <c r="O25">
        <f t="shared" ca="1" si="3"/>
        <v>-6.0685839002436626E-2</v>
      </c>
      <c r="Q25" s="2">
        <f t="shared" si="4"/>
        <v>38984.879439999997</v>
      </c>
    </row>
    <row r="26" spans="1:31">
      <c r="A26" s="30" t="s">
        <v>31</v>
      </c>
      <c r="B26" s="31" t="s">
        <v>32</v>
      </c>
      <c r="C26" s="32">
        <v>54008.395879999996</v>
      </c>
      <c r="D26" s="32">
        <v>2.9999999999999997E-4</v>
      </c>
      <c r="E26">
        <f t="shared" si="0"/>
        <v>34745.424599948819</v>
      </c>
      <c r="F26">
        <f t="shared" si="1"/>
        <v>34745.5</v>
      </c>
      <c r="G26">
        <f t="shared" si="2"/>
        <v>-5.403890000161482E-2</v>
      </c>
      <c r="K26">
        <f t="shared" si="5"/>
        <v>-5.403890000161482E-2</v>
      </c>
      <c r="O26">
        <f t="shared" ca="1" si="3"/>
        <v>-6.0776011913294903E-2</v>
      </c>
      <c r="Q26" s="2">
        <f t="shared" si="4"/>
        <v>38989.895879999996</v>
      </c>
    </row>
    <row r="27" spans="1:31">
      <c r="A27" s="30" t="s">
        <v>31</v>
      </c>
      <c r="B27" s="31" t="s">
        <v>32</v>
      </c>
      <c r="C27" s="32">
        <v>54721.491900000001</v>
      </c>
      <c r="D27" s="32">
        <v>4.0000000000000002E-4</v>
      </c>
      <c r="E27">
        <f t="shared" si="0"/>
        <v>35740.401855292024</v>
      </c>
      <c r="F27">
        <f t="shared" si="1"/>
        <v>35740.5</v>
      </c>
      <c r="G27">
        <f t="shared" si="2"/>
        <v>-7.0339899997634348E-2</v>
      </c>
      <c r="K27">
        <f t="shared" si="5"/>
        <v>-7.0339899997634348E-2</v>
      </c>
      <c r="O27">
        <f t="shared" ca="1" si="3"/>
        <v>-7.3593447099574827E-2</v>
      </c>
      <c r="Q27" s="2">
        <f t="shared" si="4"/>
        <v>39702.991900000001</v>
      </c>
    </row>
    <row r="28" spans="1:31">
      <c r="A28" s="30" t="s">
        <v>39</v>
      </c>
      <c r="B28" s="31" t="s">
        <v>32</v>
      </c>
      <c r="C28" s="32">
        <v>55093.447540000001</v>
      </c>
      <c r="D28" s="32">
        <v>2.9999999999999997E-4</v>
      </c>
      <c r="E28">
        <f t="shared" si="0"/>
        <v>36259.388627643697</v>
      </c>
      <c r="F28">
        <f t="shared" si="1"/>
        <v>36259.5</v>
      </c>
      <c r="G28">
        <f t="shared" si="2"/>
        <v>-7.9820099992502946E-2</v>
      </c>
      <c r="K28">
        <f t="shared" si="5"/>
        <v>-7.9820099992502946E-2</v>
      </c>
      <c r="O28">
        <f t="shared" ca="1" si="3"/>
        <v>-8.0279124347493735E-2</v>
      </c>
      <c r="Q28" s="2">
        <f t="shared" si="4"/>
        <v>40074.947540000001</v>
      </c>
    </row>
    <row r="29" spans="1:31">
      <c r="A29" s="30" t="s">
        <v>39</v>
      </c>
      <c r="B29" s="31" t="s">
        <v>32</v>
      </c>
      <c r="C29" s="32">
        <v>55409.503080000002</v>
      </c>
      <c r="D29" s="32">
        <v>2.0000000000000001E-4</v>
      </c>
      <c r="E29">
        <f t="shared" si="0"/>
        <v>36700.378431127967</v>
      </c>
      <c r="F29">
        <f t="shared" si="1"/>
        <v>36700.5</v>
      </c>
      <c r="G29">
        <f t="shared" si="2"/>
        <v>-8.712789999844972E-2</v>
      </c>
      <c r="K29">
        <f t="shared" si="5"/>
        <v>-8.712789999844972E-2</v>
      </c>
      <c r="O29">
        <f t="shared" ca="1" si="3"/>
        <v>-8.5960017731563532E-2</v>
      </c>
      <c r="Q29" s="2">
        <f t="shared" si="4"/>
        <v>40391.003080000002</v>
      </c>
    </row>
    <row r="30" spans="1:31">
      <c r="A30" s="32" t="s">
        <v>42</v>
      </c>
      <c r="B30" s="31" t="s">
        <v>32</v>
      </c>
      <c r="C30" s="48">
        <v>56596.327770000004</v>
      </c>
      <c r="D30" s="32">
        <v>2.0000000000000001E-4</v>
      </c>
      <c r="E30">
        <f t="shared" si="0"/>
        <v>38356.345565301213</v>
      </c>
      <c r="F30">
        <f t="shared" si="1"/>
        <v>38356.5</v>
      </c>
      <c r="G30">
        <f t="shared" si="2"/>
        <v>-0.11068269999668701</v>
      </c>
      <c r="K30">
        <f t="shared" si="5"/>
        <v>-0.11068269999668701</v>
      </c>
      <c r="O30">
        <f t="shared" ca="1" si="3"/>
        <v>-0.10729235207174403</v>
      </c>
      <c r="Q30" s="2">
        <f t="shared" si="4"/>
        <v>41577.827770000004</v>
      </c>
    </row>
    <row r="31" spans="1:31">
      <c r="A31" s="32" t="s">
        <v>42</v>
      </c>
      <c r="B31" s="31" t="s">
        <v>32</v>
      </c>
      <c r="C31" s="48">
        <v>56596.328179999997</v>
      </c>
      <c r="D31" s="32">
        <v>2.9999999999999997E-4</v>
      </c>
      <c r="E31">
        <f t="shared" si="0"/>
        <v>38356.346137370972</v>
      </c>
      <c r="F31">
        <f t="shared" si="1"/>
        <v>38356.5</v>
      </c>
      <c r="G31">
        <f t="shared" si="2"/>
        <v>-0.1102727000034065</v>
      </c>
      <c r="K31">
        <f t="shared" si="5"/>
        <v>-0.1102727000034065</v>
      </c>
      <c r="O31">
        <f t="shared" ca="1" si="3"/>
        <v>-0.10729235207174403</v>
      </c>
      <c r="Q31" s="2">
        <f t="shared" si="4"/>
        <v>41577.828179999997</v>
      </c>
    </row>
    <row r="32" spans="1:31">
      <c r="A32" s="32" t="s">
        <v>42</v>
      </c>
      <c r="B32" s="31" t="s">
        <v>32</v>
      </c>
      <c r="C32" s="48">
        <v>56643.630019999997</v>
      </c>
      <c r="D32" s="32">
        <v>8.0000000000000004E-4</v>
      </c>
      <c r="E32">
        <f t="shared" si="0"/>
        <v>38422.346021840785</v>
      </c>
      <c r="F32">
        <f t="shared" si="1"/>
        <v>38422.5</v>
      </c>
      <c r="G32">
        <f t="shared" si="2"/>
        <v>-0.11035550000087824</v>
      </c>
      <c r="K32">
        <f t="shared" si="5"/>
        <v>-0.11035550000087824</v>
      </c>
      <c r="O32">
        <f t="shared" ca="1" si="3"/>
        <v>-0.10814255380269328</v>
      </c>
      <c r="Q32" s="2">
        <f t="shared" si="4"/>
        <v>41625.130019999997</v>
      </c>
    </row>
    <row r="33" spans="1:17">
      <c r="A33" s="32" t="s">
        <v>42</v>
      </c>
      <c r="B33" s="31" t="s">
        <v>32</v>
      </c>
      <c r="C33" s="48">
        <v>56643.630429999997</v>
      </c>
      <c r="D33" s="32">
        <v>8.9999999999999998E-4</v>
      </c>
      <c r="E33">
        <f t="shared" si="0"/>
        <v>38422.346593910552</v>
      </c>
      <c r="F33">
        <f t="shared" si="1"/>
        <v>38422.5</v>
      </c>
      <c r="G33">
        <f t="shared" si="2"/>
        <v>-0.10994550000032177</v>
      </c>
      <c r="K33">
        <f t="shared" si="5"/>
        <v>-0.10994550000032177</v>
      </c>
      <c r="O33">
        <f t="shared" ca="1" si="3"/>
        <v>-0.10814255380269328</v>
      </c>
      <c r="Q33" s="2">
        <f t="shared" si="4"/>
        <v>41625.130429999997</v>
      </c>
    </row>
    <row r="34" spans="1:17">
      <c r="A34" s="49" t="s">
        <v>89</v>
      </c>
      <c r="B34" s="50" t="s">
        <v>32</v>
      </c>
      <c r="C34" s="51">
        <v>56945.352220000001</v>
      </c>
      <c r="D34" s="51">
        <v>2.9999999999999997E-4</v>
      </c>
      <c r="E34">
        <f>+(C34-C$7)/C$8</f>
        <v>38843.336629013313</v>
      </c>
      <c r="F34">
        <f t="shared" si="1"/>
        <v>38843.5</v>
      </c>
      <c r="G34">
        <f>+C34-(C$7+F34*C$8)</f>
        <v>-0.11708729999372736</v>
      </c>
      <c r="K34">
        <f>+G34</f>
        <v>-0.11708729999372736</v>
      </c>
      <c r="O34">
        <f ca="1">+C$11+C$12*F34</f>
        <v>-0.11356581029859664</v>
      </c>
      <c r="Q34" s="2">
        <f>+C34-15018.5</f>
        <v>41926.852220000001</v>
      </c>
    </row>
    <row r="35" spans="1:17">
      <c r="A35" s="49" t="s">
        <v>89</v>
      </c>
      <c r="B35" s="50" t="s">
        <v>32</v>
      </c>
      <c r="C35" s="51">
        <v>56945.352370000001</v>
      </c>
      <c r="D35" s="51">
        <v>2.9999999999999997E-4</v>
      </c>
      <c r="E35">
        <f>+(C35-C$7)/C$8</f>
        <v>38843.336838307136</v>
      </c>
      <c r="F35">
        <f t="shared" si="1"/>
        <v>38843.5</v>
      </c>
      <c r="G35">
        <f>+C35-(C$7+F35*C$8)</f>
        <v>-0.1169372999938787</v>
      </c>
      <c r="K35">
        <f>+G35</f>
        <v>-0.1169372999938787</v>
      </c>
      <c r="O35">
        <f ca="1">+C$11+C$12*F35</f>
        <v>-0.11356581029859664</v>
      </c>
      <c r="Q35" s="2">
        <f>+C35-15018.5</f>
        <v>41926.852370000001</v>
      </c>
    </row>
    <row r="36" spans="1:17">
      <c r="A36" s="46"/>
      <c r="B36" s="47"/>
      <c r="C36" s="46"/>
      <c r="D36" s="46"/>
      <c r="Q36" s="2"/>
    </row>
    <row r="37" spans="1:17">
      <c r="A37" s="46"/>
      <c r="B37" s="47"/>
      <c r="C37" s="46"/>
      <c r="D37" s="46"/>
      <c r="Q37" s="2"/>
    </row>
    <row r="38" spans="1:17">
      <c r="A38" s="46"/>
      <c r="B38" s="47"/>
      <c r="C38" s="46"/>
      <c r="D38" s="46"/>
      <c r="Q38" s="2"/>
    </row>
    <row r="39" spans="1:17">
      <c r="A39" s="46"/>
      <c r="B39" s="47"/>
      <c r="C39" s="46"/>
      <c r="D39" s="46"/>
      <c r="Q39" s="2"/>
    </row>
    <row r="40" spans="1:17">
      <c r="C40" s="9"/>
      <c r="D40" s="9"/>
    </row>
    <row r="41" spans="1:17">
      <c r="C41" s="9"/>
      <c r="D41" s="9"/>
    </row>
    <row r="42" spans="1:17">
      <c r="C42" s="9"/>
      <c r="D42" s="9"/>
    </row>
    <row r="43" spans="1:17">
      <c r="C43" s="9"/>
      <c r="D43" s="9"/>
    </row>
    <row r="44" spans="1:17">
      <c r="C44" s="9"/>
      <c r="D44" s="9"/>
    </row>
    <row r="45" spans="1:17">
      <c r="C45" s="9"/>
      <c r="D45" s="9"/>
    </row>
    <row r="46" spans="1:17">
      <c r="C46" s="9"/>
      <c r="D46" s="9"/>
    </row>
    <row r="47" spans="1:17">
      <c r="C47" s="9"/>
      <c r="D47" s="9"/>
    </row>
    <row r="48" spans="1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</sheetData>
  <phoneticPr fontId="7" type="noConversion"/>
  <hyperlinks>
    <hyperlink ref="H237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workbookViewId="0">
      <selection activeCell="A13" sqref="A13:D18"/>
    </sheetView>
  </sheetViews>
  <sheetFormatPr defaultRowHeight="12.75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3" t="s">
        <v>43</v>
      </c>
      <c r="I1" s="34" t="s">
        <v>44</v>
      </c>
      <c r="J1" s="35" t="s">
        <v>45</v>
      </c>
    </row>
    <row r="2" spans="1:16">
      <c r="I2" s="36" t="s">
        <v>46</v>
      </c>
      <c r="J2" s="37" t="s">
        <v>47</v>
      </c>
    </row>
    <row r="3" spans="1:16">
      <c r="A3" s="38" t="s">
        <v>48</v>
      </c>
      <c r="I3" s="36" t="s">
        <v>49</v>
      </c>
      <c r="J3" s="37" t="s">
        <v>50</v>
      </c>
    </row>
    <row r="4" spans="1:16">
      <c r="I4" s="36" t="s">
        <v>51</v>
      </c>
      <c r="J4" s="37" t="s">
        <v>50</v>
      </c>
    </row>
    <row r="5" spans="1:16" ht="13.5" thickBot="1">
      <c r="I5" s="39" t="s">
        <v>52</v>
      </c>
      <c r="J5" s="40" t="s">
        <v>53</v>
      </c>
    </row>
    <row r="10" spans="1:16" ht="13.5" thickBot="1"/>
    <row r="11" spans="1:16" ht="12.75" customHeight="1" thickBot="1">
      <c r="A11" s="9" t="str">
        <f t="shared" ref="A11:A18" si="0">P11</f>
        <v> BBS 114 </v>
      </c>
      <c r="B11" s="16" t="str">
        <f t="shared" ref="B11:B18" si="1">IF(H11=INT(H11),"I","II")</f>
        <v>I</v>
      </c>
      <c r="C11" s="9">
        <f t="shared" ref="C11:C18" si="2">1*G11</f>
        <v>50463.303999999996</v>
      </c>
      <c r="D11" s="13" t="str">
        <f t="shared" ref="D11:D18" si="3">VLOOKUP(F11,I$1:J$5,2,FALSE)</f>
        <v>vis</v>
      </c>
      <c r="E11" s="41">
        <f>VLOOKUP(C11,Active!C$21:E$973,3,FALSE)</f>
        <v>29798.985845877705</v>
      </c>
      <c r="F11" s="16" t="s">
        <v>52</v>
      </c>
      <c r="G11" s="13" t="str">
        <f t="shared" ref="G11:G18" si="4">MID(I11,3,LEN(I11)-3)</f>
        <v>50463.304</v>
      </c>
      <c r="H11" s="9">
        <f t="shared" ref="H11:H18" si="5">1*K11</f>
        <v>29799</v>
      </c>
      <c r="I11" s="42" t="s">
        <v>54</v>
      </c>
      <c r="J11" s="43" t="s">
        <v>55</v>
      </c>
      <c r="K11" s="42">
        <v>29799</v>
      </c>
      <c r="L11" s="42" t="s">
        <v>56</v>
      </c>
      <c r="M11" s="43" t="s">
        <v>57</v>
      </c>
      <c r="N11" s="43" t="s">
        <v>58</v>
      </c>
      <c r="O11" s="44" t="s">
        <v>59</v>
      </c>
      <c r="P11" s="44" t="s">
        <v>60</v>
      </c>
    </row>
    <row r="12" spans="1:16" ht="12.75" customHeight="1" thickBot="1">
      <c r="A12" s="9" t="str">
        <f t="shared" si="0"/>
        <v>OEJV 0107 </v>
      </c>
      <c r="B12" s="16" t="str">
        <f t="shared" si="1"/>
        <v>II</v>
      </c>
      <c r="C12" s="9">
        <f t="shared" si="2"/>
        <v>54721.491900000001</v>
      </c>
      <c r="D12" s="13" t="str">
        <f t="shared" si="3"/>
        <v>vis</v>
      </c>
      <c r="E12" s="41">
        <f>VLOOKUP(C12,Active!C$21:E$973,3,FALSE)</f>
        <v>35740.401855292024</v>
      </c>
      <c r="F12" s="16" t="s">
        <v>52</v>
      </c>
      <c r="G12" s="13" t="str">
        <f t="shared" si="4"/>
        <v>54721.4919</v>
      </c>
      <c r="H12" s="9">
        <f t="shared" si="5"/>
        <v>35740.5</v>
      </c>
      <c r="I12" s="42" t="s">
        <v>76</v>
      </c>
      <c r="J12" s="43" t="s">
        <v>77</v>
      </c>
      <c r="K12" s="42">
        <v>35740.5</v>
      </c>
      <c r="L12" s="42" t="s">
        <v>78</v>
      </c>
      <c r="M12" s="43" t="s">
        <v>64</v>
      </c>
      <c r="N12" s="43" t="s">
        <v>65</v>
      </c>
      <c r="O12" s="44" t="s">
        <v>66</v>
      </c>
      <c r="P12" s="45" t="s">
        <v>67</v>
      </c>
    </row>
    <row r="13" spans="1:16" ht="12.75" customHeight="1" thickBot="1">
      <c r="A13" s="9" t="str">
        <f t="shared" si="0"/>
        <v>OEJV 0107 </v>
      </c>
      <c r="B13" s="16" t="str">
        <f t="shared" si="1"/>
        <v>II</v>
      </c>
      <c r="C13" s="9">
        <f t="shared" si="2"/>
        <v>53990.478999999999</v>
      </c>
      <c r="D13" s="13" t="str">
        <f t="shared" si="3"/>
        <v>vis</v>
      </c>
      <c r="E13" s="41" t="e">
        <f>VLOOKUP(C13,Active!C$21:E$973,3,FALSE)</f>
        <v>#N/A</v>
      </c>
      <c r="F13" s="16" t="s">
        <v>52</v>
      </c>
      <c r="G13" s="13" t="str">
        <f t="shared" si="4"/>
        <v>53990.4790</v>
      </c>
      <c r="H13" s="9">
        <f t="shared" si="5"/>
        <v>34720.5</v>
      </c>
      <c r="I13" s="42" t="s">
        <v>61</v>
      </c>
      <c r="J13" s="43" t="s">
        <v>62</v>
      </c>
      <c r="K13" s="42">
        <v>34720.5</v>
      </c>
      <c r="L13" s="42" t="s">
        <v>63</v>
      </c>
      <c r="M13" s="43" t="s">
        <v>64</v>
      </c>
      <c r="N13" s="43" t="s">
        <v>65</v>
      </c>
      <c r="O13" s="44" t="s">
        <v>66</v>
      </c>
      <c r="P13" s="45" t="s">
        <v>67</v>
      </c>
    </row>
    <row r="14" spans="1:16" ht="12.75" customHeight="1" thickBot="1">
      <c r="A14" s="9" t="str">
        <f t="shared" si="0"/>
        <v>OEJV 0107 </v>
      </c>
      <c r="B14" s="16" t="str">
        <f t="shared" si="1"/>
        <v>II</v>
      </c>
      <c r="C14" s="9">
        <f t="shared" si="2"/>
        <v>53993.345800000003</v>
      </c>
      <c r="D14" s="13" t="str">
        <f t="shared" si="3"/>
        <v>vis</v>
      </c>
      <c r="E14" s="41" t="e">
        <f>VLOOKUP(C14,Active!C$21:E$973,3,FALSE)</f>
        <v>#N/A</v>
      </c>
      <c r="F14" s="16" t="s">
        <v>52</v>
      </c>
      <c r="G14" s="13" t="str">
        <f t="shared" si="4"/>
        <v>53993.3458</v>
      </c>
      <c r="H14" s="9">
        <f t="shared" si="5"/>
        <v>34724.5</v>
      </c>
      <c r="I14" s="42" t="s">
        <v>68</v>
      </c>
      <c r="J14" s="43" t="s">
        <v>69</v>
      </c>
      <c r="K14" s="42">
        <v>34724.5</v>
      </c>
      <c r="L14" s="42" t="s">
        <v>63</v>
      </c>
      <c r="M14" s="43" t="s">
        <v>64</v>
      </c>
      <c r="N14" s="43" t="s">
        <v>65</v>
      </c>
      <c r="O14" s="44" t="s">
        <v>66</v>
      </c>
      <c r="P14" s="45" t="s">
        <v>67</v>
      </c>
    </row>
    <row r="15" spans="1:16" ht="12.75" customHeight="1" thickBot="1">
      <c r="A15" s="9" t="str">
        <f t="shared" si="0"/>
        <v>OEJV 0107 </v>
      </c>
      <c r="B15" s="16" t="str">
        <f t="shared" si="1"/>
        <v>II</v>
      </c>
      <c r="C15" s="9">
        <f t="shared" si="2"/>
        <v>54003.379399999998</v>
      </c>
      <c r="D15" s="13" t="str">
        <f t="shared" si="3"/>
        <v>vis</v>
      </c>
      <c r="E15" s="41" t="e">
        <f>VLOOKUP(C15,Active!C$21:E$973,3,FALSE)</f>
        <v>#N/A</v>
      </c>
      <c r="F15" s="16" t="s">
        <v>52</v>
      </c>
      <c r="G15" s="13" t="str">
        <f t="shared" si="4"/>
        <v>54003.3794</v>
      </c>
      <c r="H15" s="9">
        <f t="shared" si="5"/>
        <v>34738.5</v>
      </c>
      <c r="I15" s="42" t="s">
        <v>70</v>
      </c>
      <c r="J15" s="43" t="s">
        <v>71</v>
      </c>
      <c r="K15" s="42">
        <v>34738.5</v>
      </c>
      <c r="L15" s="42" t="s">
        <v>72</v>
      </c>
      <c r="M15" s="43" t="s">
        <v>64</v>
      </c>
      <c r="N15" s="43" t="s">
        <v>65</v>
      </c>
      <c r="O15" s="44" t="s">
        <v>66</v>
      </c>
      <c r="P15" s="45" t="s">
        <v>67</v>
      </c>
    </row>
    <row r="16" spans="1:16" ht="12.75" customHeight="1" thickBot="1">
      <c r="A16" s="9" t="str">
        <f t="shared" si="0"/>
        <v>OEJV 0107 </v>
      </c>
      <c r="B16" s="16" t="str">
        <f t="shared" si="1"/>
        <v>II</v>
      </c>
      <c r="C16" s="9">
        <f t="shared" si="2"/>
        <v>54008.395799999998</v>
      </c>
      <c r="D16" s="13" t="str">
        <f t="shared" si="3"/>
        <v>vis</v>
      </c>
      <c r="E16" s="41" t="e">
        <f>VLOOKUP(C16,Active!C$21:E$973,3,FALSE)</f>
        <v>#N/A</v>
      </c>
      <c r="F16" s="16" t="s">
        <v>52</v>
      </c>
      <c r="G16" s="13" t="str">
        <f t="shared" si="4"/>
        <v>54008.3958</v>
      </c>
      <c r="H16" s="9">
        <f t="shared" si="5"/>
        <v>34745.5</v>
      </c>
      <c r="I16" s="42" t="s">
        <v>73</v>
      </c>
      <c r="J16" s="43" t="s">
        <v>74</v>
      </c>
      <c r="K16" s="42">
        <v>34745.5</v>
      </c>
      <c r="L16" s="42" t="s">
        <v>75</v>
      </c>
      <c r="M16" s="43" t="s">
        <v>64</v>
      </c>
      <c r="N16" s="43" t="s">
        <v>65</v>
      </c>
      <c r="O16" s="44" t="s">
        <v>66</v>
      </c>
      <c r="P16" s="45" t="s">
        <v>67</v>
      </c>
    </row>
    <row r="17" spans="1:16" ht="12.75" customHeight="1" thickBot="1">
      <c r="A17" s="9" t="str">
        <f t="shared" si="0"/>
        <v>OEJV 0137 </v>
      </c>
      <c r="B17" s="16" t="str">
        <f t="shared" si="1"/>
        <v>II</v>
      </c>
      <c r="C17" s="9">
        <f t="shared" si="2"/>
        <v>55093.447500000002</v>
      </c>
      <c r="D17" s="13" t="str">
        <f t="shared" si="3"/>
        <v>vis</v>
      </c>
      <c r="E17" s="41" t="e">
        <f>VLOOKUP(C17,Active!C$21:E$973,3,FALSE)</f>
        <v>#N/A</v>
      </c>
      <c r="F17" s="16" t="s">
        <v>52</v>
      </c>
      <c r="G17" s="13" t="str">
        <f t="shared" si="4"/>
        <v>55093.4475</v>
      </c>
      <c r="H17" s="9">
        <f t="shared" si="5"/>
        <v>36259.5</v>
      </c>
      <c r="I17" s="42" t="s">
        <v>79</v>
      </c>
      <c r="J17" s="43" t="s">
        <v>80</v>
      </c>
      <c r="K17" s="42">
        <v>36259.5</v>
      </c>
      <c r="L17" s="42" t="s">
        <v>81</v>
      </c>
      <c r="M17" s="43" t="s">
        <v>64</v>
      </c>
      <c r="N17" s="43" t="s">
        <v>65</v>
      </c>
      <c r="O17" s="44" t="s">
        <v>66</v>
      </c>
      <c r="P17" s="45" t="s">
        <v>82</v>
      </c>
    </row>
    <row r="18" spans="1:16" ht="12.75" customHeight="1" thickBot="1">
      <c r="A18" s="9" t="str">
        <f t="shared" si="0"/>
        <v>OEJV 0137 </v>
      </c>
      <c r="B18" s="16" t="str">
        <f t="shared" si="1"/>
        <v>II</v>
      </c>
      <c r="C18" s="9">
        <f t="shared" si="2"/>
        <v>55409.502999999997</v>
      </c>
      <c r="D18" s="13" t="str">
        <f t="shared" si="3"/>
        <v>vis</v>
      </c>
      <c r="E18" s="41" t="e">
        <f>VLOOKUP(C18,Active!C$21:E$973,3,FALSE)</f>
        <v>#N/A</v>
      </c>
      <c r="F18" s="16" t="s">
        <v>52</v>
      </c>
      <c r="G18" s="13" t="str">
        <f t="shared" si="4"/>
        <v>55409.5030</v>
      </c>
      <c r="H18" s="9">
        <f t="shared" si="5"/>
        <v>36700.5</v>
      </c>
      <c r="I18" s="42" t="s">
        <v>83</v>
      </c>
      <c r="J18" s="43" t="s">
        <v>84</v>
      </c>
      <c r="K18" s="42">
        <v>36700.5</v>
      </c>
      <c r="L18" s="42" t="s">
        <v>85</v>
      </c>
      <c r="M18" s="43" t="s">
        <v>64</v>
      </c>
      <c r="N18" s="43" t="s">
        <v>65</v>
      </c>
      <c r="O18" s="44" t="s">
        <v>66</v>
      </c>
      <c r="P18" s="45" t="s">
        <v>82</v>
      </c>
    </row>
    <row r="19" spans="1:16">
      <c r="B19" s="16"/>
      <c r="F19" s="16"/>
    </row>
    <row r="20" spans="1:16">
      <c r="B20" s="16"/>
      <c r="F20" s="16"/>
    </row>
    <row r="21" spans="1:16">
      <c r="B21" s="16"/>
      <c r="F21" s="16"/>
    </row>
    <row r="22" spans="1:16">
      <c r="B22" s="16"/>
      <c r="F22" s="16"/>
    </row>
    <row r="23" spans="1:16">
      <c r="B23" s="16"/>
      <c r="F23" s="16"/>
    </row>
    <row r="24" spans="1:16">
      <c r="B24" s="16"/>
      <c r="F24" s="16"/>
    </row>
    <row r="25" spans="1:16">
      <c r="B25" s="16"/>
      <c r="F25" s="16"/>
    </row>
    <row r="26" spans="1:16">
      <c r="B26" s="16"/>
      <c r="F26" s="16"/>
    </row>
    <row r="27" spans="1:16">
      <c r="B27" s="16"/>
      <c r="F27" s="16"/>
    </row>
    <row r="28" spans="1:16">
      <c r="B28" s="16"/>
      <c r="F28" s="16"/>
    </row>
    <row r="29" spans="1:16">
      <c r="B29" s="16"/>
      <c r="F29" s="16"/>
    </row>
    <row r="30" spans="1:16">
      <c r="B30" s="16"/>
      <c r="F30" s="16"/>
    </row>
    <row r="31" spans="1:16">
      <c r="B31" s="16"/>
      <c r="F31" s="16"/>
    </row>
    <row r="32" spans="1:16">
      <c r="B32" s="16"/>
      <c r="F32" s="16"/>
    </row>
    <row r="33" spans="2:6">
      <c r="B33" s="16"/>
      <c r="F33" s="16"/>
    </row>
    <row r="34" spans="2:6">
      <c r="B34" s="16"/>
      <c r="F34" s="16"/>
    </row>
    <row r="35" spans="2:6">
      <c r="B35" s="16"/>
      <c r="F35" s="16"/>
    </row>
    <row r="36" spans="2:6">
      <c r="B36" s="16"/>
      <c r="F36" s="16"/>
    </row>
    <row r="37" spans="2:6">
      <c r="B37" s="16"/>
      <c r="F37" s="16"/>
    </row>
    <row r="38" spans="2:6">
      <c r="B38" s="16"/>
      <c r="F38" s="16"/>
    </row>
    <row r="39" spans="2:6">
      <c r="B39" s="16"/>
      <c r="F39" s="16"/>
    </row>
    <row r="40" spans="2:6">
      <c r="B40" s="16"/>
      <c r="F40" s="16"/>
    </row>
    <row r="41" spans="2:6">
      <c r="B41" s="16"/>
      <c r="F41" s="16"/>
    </row>
    <row r="42" spans="2:6">
      <c r="B42" s="16"/>
      <c r="F42" s="16"/>
    </row>
    <row r="43" spans="2:6">
      <c r="B43" s="16"/>
      <c r="F43" s="16"/>
    </row>
    <row r="44" spans="2:6">
      <c r="B44" s="16"/>
      <c r="F44" s="16"/>
    </row>
    <row r="45" spans="2:6">
      <c r="B45" s="16"/>
      <c r="F45" s="16"/>
    </row>
    <row r="46" spans="2:6">
      <c r="B46" s="16"/>
      <c r="F46" s="16"/>
    </row>
    <row r="47" spans="2:6">
      <c r="B47" s="16"/>
      <c r="F47" s="16"/>
    </row>
    <row r="48" spans="2:6">
      <c r="B48" s="16"/>
      <c r="F48" s="16"/>
    </row>
    <row r="49" spans="2:6">
      <c r="B49" s="16"/>
      <c r="F49" s="16"/>
    </row>
    <row r="50" spans="2:6">
      <c r="B50" s="16"/>
      <c r="F50" s="16"/>
    </row>
    <row r="51" spans="2:6">
      <c r="B51" s="16"/>
      <c r="F51" s="16"/>
    </row>
    <row r="52" spans="2:6">
      <c r="B52" s="16"/>
      <c r="F52" s="16"/>
    </row>
    <row r="53" spans="2:6">
      <c r="B53" s="16"/>
      <c r="F53" s="16"/>
    </row>
    <row r="54" spans="2:6">
      <c r="B54" s="16"/>
      <c r="F54" s="16"/>
    </row>
    <row r="55" spans="2:6">
      <c r="B55" s="16"/>
      <c r="F55" s="16"/>
    </row>
    <row r="56" spans="2:6">
      <c r="B56" s="16"/>
      <c r="F56" s="16"/>
    </row>
    <row r="57" spans="2:6">
      <c r="B57" s="16"/>
      <c r="F57" s="16"/>
    </row>
    <row r="58" spans="2:6">
      <c r="B58" s="16"/>
      <c r="F58" s="16"/>
    </row>
    <row r="59" spans="2:6">
      <c r="B59" s="16"/>
      <c r="F59" s="16"/>
    </row>
    <row r="60" spans="2:6">
      <c r="B60" s="16"/>
      <c r="F60" s="16"/>
    </row>
    <row r="61" spans="2:6">
      <c r="B61" s="16"/>
      <c r="F61" s="16"/>
    </row>
    <row r="62" spans="2:6">
      <c r="B62" s="16"/>
      <c r="F62" s="16"/>
    </row>
    <row r="63" spans="2:6">
      <c r="B63" s="16"/>
      <c r="F63" s="16"/>
    </row>
    <row r="64" spans="2:6">
      <c r="B64" s="16"/>
      <c r="F64" s="16"/>
    </row>
    <row r="65" spans="2:6">
      <c r="B65" s="16"/>
      <c r="F65" s="16"/>
    </row>
    <row r="66" spans="2:6">
      <c r="B66" s="16"/>
      <c r="F66" s="16"/>
    </row>
    <row r="67" spans="2:6">
      <c r="B67" s="16"/>
      <c r="F67" s="16"/>
    </row>
    <row r="68" spans="2:6">
      <c r="B68" s="16"/>
      <c r="F68" s="16"/>
    </row>
    <row r="69" spans="2:6">
      <c r="B69" s="16"/>
      <c r="F69" s="16"/>
    </row>
    <row r="70" spans="2:6">
      <c r="B70" s="16"/>
      <c r="F70" s="16"/>
    </row>
    <row r="71" spans="2:6">
      <c r="B71" s="16"/>
      <c r="F71" s="16"/>
    </row>
    <row r="72" spans="2:6">
      <c r="B72" s="16"/>
      <c r="F72" s="16"/>
    </row>
    <row r="73" spans="2:6">
      <c r="B73" s="16"/>
      <c r="F73" s="16"/>
    </row>
    <row r="74" spans="2:6">
      <c r="B74" s="16"/>
      <c r="F74" s="16"/>
    </row>
    <row r="75" spans="2:6">
      <c r="B75" s="16"/>
      <c r="F75" s="16"/>
    </row>
    <row r="76" spans="2:6">
      <c r="B76" s="16"/>
      <c r="F76" s="16"/>
    </row>
    <row r="77" spans="2:6">
      <c r="B77" s="16"/>
      <c r="F77" s="16"/>
    </row>
    <row r="78" spans="2:6">
      <c r="B78" s="16"/>
      <c r="F78" s="16"/>
    </row>
    <row r="79" spans="2:6">
      <c r="B79" s="16"/>
      <c r="F79" s="16"/>
    </row>
    <row r="80" spans="2: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</sheetData>
  <phoneticPr fontId="7" type="noConversion"/>
  <hyperlinks>
    <hyperlink ref="P13" r:id="rId1" display="http://var.astro.cz/oejv/issues/oejv0107.pdf"/>
    <hyperlink ref="P14" r:id="rId2" display="http://var.astro.cz/oejv/issues/oejv0107.pdf"/>
    <hyperlink ref="P15" r:id="rId3" display="http://var.astro.cz/oejv/issues/oejv0107.pdf"/>
    <hyperlink ref="P16" r:id="rId4" display="http://var.astro.cz/oejv/issues/oejv0107.pdf"/>
    <hyperlink ref="P12" r:id="rId5" display="http://var.astro.cz/oejv/issues/oejv0107.pdf"/>
    <hyperlink ref="P17" r:id="rId6" display="http://var.astro.cz/oejv/issues/oejv0137.pdf"/>
    <hyperlink ref="P18" r:id="rId7" display="http://var.astro.cz/oejv/issues/oejv013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2024-01-19T05:19:16Z</dcterms:modified>
</cp:coreProperties>
</file>