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3C0BFF5-5DF7-4435-8BBA-6F1C60BEA0E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BAV" sheetId="4" r:id="rId2"/>
    <sheet name="A (old)" sheetId="1" r:id="rId3"/>
    <sheet name="B" sheetId="2" r:id="rId4"/>
  </sheets>
  <calcPr calcId="181029"/>
</workbook>
</file>

<file path=xl/calcChain.xml><?xml version="1.0" encoding="utf-8"?>
<calcChain xmlns="http://schemas.openxmlformats.org/spreadsheetml/2006/main">
  <c r="E21" i="3" l="1"/>
  <c r="F21" i="3"/>
  <c r="G21" i="3"/>
  <c r="I21" i="3"/>
  <c r="E22" i="3"/>
  <c r="F22" i="3"/>
  <c r="G22" i="3"/>
  <c r="I22" i="3"/>
  <c r="E23" i="3"/>
  <c r="F23" i="3"/>
  <c r="G23" i="3"/>
  <c r="I23" i="3"/>
  <c r="E24" i="3"/>
  <c r="F24" i="3"/>
  <c r="G24" i="3"/>
  <c r="I24" i="3"/>
  <c r="E26" i="3"/>
  <c r="F26" i="3"/>
  <c r="G26" i="3"/>
  <c r="I26" i="3"/>
  <c r="E27" i="3"/>
  <c r="F27" i="3"/>
  <c r="G27" i="3"/>
  <c r="I27" i="3"/>
  <c r="E28" i="3"/>
  <c r="F28" i="3"/>
  <c r="G28" i="3"/>
  <c r="I28" i="3"/>
  <c r="E29" i="3"/>
  <c r="F29" i="3"/>
  <c r="G29" i="3"/>
  <c r="I29" i="3"/>
  <c r="E30" i="3"/>
  <c r="F30" i="3"/>
  <c r="G30" i="3"/>
  <c r="I30" i="3"/>
  <c r="E31" i="3"/>
  <c r="F31" i="3"/>
  <c r="G31" i="3"/>
  <c r="K31" i="3"/>
  <c r="E44" i="3"/>
  <c r="F44" i="3"/>
  <c r="G44" i="3"/>
  <c r="K44" i="3"/>
  <c r="E45" i="3"/>
  <c r="F45" i="3"/>
  <c r="G45" i="3"/>
  <c r="K45" i="3"/>
  <c r="E47" i="3"/>
  <c r="F47" i="3"/>
  <c r="G47" i="3"/>
  <c r="K47" i="3"/>
  <c r="E48" i="3"/>
  <c r="F48" i="3"/>
  <c r="G48" i="3"/>
  <c r="K48" i="3"/>
  <c r="D9" i="3"/>
  <c r="C9" i="3"/>
  <c r="E32" i="3"/>
  <c r="F32" i="3"/>
  <c r="G32" i="3"/>
  <c r="I32" i="3"/>
  <c r="E35" i="3"/>
  <c r="F35" i="3"/>
  <c r="G35" i="3"/>
  <c r="I35" i="3"/>
  <c r="E33" i="3"/>
  <c r="F33" i="3"/>
  <c r="G33" i="3"/>
  <c r="I33" i="3"/>
  <c r="E34" i="3"/>
  <c r="F34" i="3"/>
  <c r="G34" i="3"/>
  <c r="I34" i="3"/>
  <c r="E36" i="3"/>
  <c r="F36" i="3"/>
  <c r="G36" i="3"/>
  <c r="I36" i="3"/>
  <c r="E37" i="3"/>
  <c r="F37" i="3"/>
  <c r="G37" i="3"/>
  <c r="I37" i="3"/>
  <c r="E38" i="3"/>
  <c r="F38" i="3"/>
  <c r="G38" i="3"/>
  <c r="I38" i="3"/>
  <c r="E40" i="3"/>
  <c r="F40" i="3"/>
  <c r="G40" i="3"/>
  <c r="E41" i="3"/>
  <c r="F41" i="3"/>
  <c r="G41" i="3"/>
  <c r="J41" i="3"/>
  <c r="E39" i="3"/>
  <c r="F39" i="3"/>
  <c r="G39" i="3"/>
  <c r="I39" i="3"/>
  <c r="E43" i="3"/>
  <c r="F43" i="3"/>
  <c r="G43" i="3"/>
  <c r="I43" i="3"/>
  <c r="E46" i="3"/>
  <c r="F46" i="3"/>
  <c r="G46" i="3"/>
  <c r="I46" i="3"/>
  <c r="E42" i="3"/>
  <c r="F42" i="3"/>
  <c r="G42" i="3"/>
  <c r="N42" i="3"/>
  <c r="E25" i="3"/>
  <c r="F25" i="3"/>
  <c r="Q21" i="3"/>
  <c r="Q22" i="3"/>
  <c r="Q23" i="3"/>
  <c r="Q24" i="3"/>
  <c r="Q26" i="3"/>
  <c r="Q27" i="3"/>
  <c r="Q28" i="3"/>
  <c r="Q29" i="3"/>
  <c r="Q30" i="3"/>
  <c r="Q31" i="3"/>
  <c r="Q44" i="3"/>
  <c r="Q45" i="3"/>
  <c r="Q47" i="3"/>
  <c r="Q48" i="3"/>
  <c r="G37" i="4"/>
  <c r="C37" i="4"/>
  <c r="E37" i="4"/>
  <c r="G36" i="4"/>
  <c r="C36" i="4"/>
  <c r="E36" i="4"/>
  <c r="G23" i="4"/>
  <c r="C23" i="4"/>
  <c r="E23" i="4"/>
  <c r="G35" i="4"/>
  <c r="C35" i="4"/>
  <c r="E35" i="4"/>
  <c r="G34" i="4"/>
  <c r="C34" i="4"/>
  <c r="E34" i="4"/>
  <c r="G22" i="4"/>
  <c r="C22" i="4"/>
  <c r="E22" i="4"/>
  <c r="G21" i="4"/>
  <c r="C21" i="4"/>
  <c r="E21" i="4"/>
  <c r="G20" i="4"/>
  <c r="C20" i="4"/>
  <c r="E20" i="4"/>
  <c r="G19" i="4"/>
  <c r="C19" i="4"/>
  <c r="E19" i="4"/>
  <c r="G18" i="4"/>
  <c r="C18" i="4"/>
  <c r="E18" i="4"/>
  <c r="G17" i="4"/>
  <c r="C17" i="4"/>
  <c r="E17" i="4"/>
  <c r="G16" i="4"/>
  <c r="C16" i="4"/>
  <c r="E16" i="4"/>
  <c r="G15" i="4"/>
  <c r="C15" i="4"/>
  <c r="E15" i="4"/>
  <c r="G14" i="4"/>
  <c r="C14" i="4"/>
  <c r="E14" i="4"/>
  <c r="G13" i="4"/>
  <c r="C13" i="4"/>
  <c r="E13" i="4"/>
  <c r="G12" i="4"/>
  <c r="C12" i="4"/>
  <c r="E12" i="4"/>
  <c r="G33" i="4"/>
  <c r="C33" i="4"/>
  <c r="E33" i="4"/>
  <c r="G32" i="4"/>
  <c r="C32" i="4"/>
  <c r="E32" i="4"/>
  <c r="G31" i="4"/>
  <c r="C31" i="4"/>
  <c r="E31" i="4"/>
  <c r="G30" i="4"/>
  <c r="C30" i="4"/>
  <c r="E30" i="4"/>
  <c r="G29" i="4"/>
  <c r="C29" i="4"/>
  <c r="E29" i="4"/>
  <c r="G28" i="4"/>
  <c r="C28" i="4"/>
  <c r="E28" i="4"/>
  <c r="G11" i="4"/>
  <c r="C11" i="4"/>
  <c r="E11" i="4"/>
  <c r="G27" i="4"/>
  <c r="C27" i="4"/>
  <c r="E27" i="4"/>
  <c r="G26" i="4"/>
  <c r="C26" i="4"/>
  <c r="E26" i="4"/>
  <c r="G25" i="4"/>
  <c r="C25" i="4"/>
  <c r="E25" i="4"/>
  <c r="G24" i="4"/>
  <c r="C24" i="4"/>
  <c r="E24" i="4"/>
  <c r="H37" i="4"/>
  <c r="D37" i="4"/>
  <c r="B37" i="4"/>
  <c r="A37" i="4"/>
  <c r="H36" i="4"/>
  <c r="D36" i="4"/>
  <c r="B36" i="4"/>
  <c r="A36" i="4"/>
  <c r="H23" i="4"/>
  <c r="D23" i="4"/>
  <c r="B23" i="4"/>
  <c r="A23" i="4"/>
  <c r="H35" i="4"/>
  <c r="D35" i="4"/>
  <c r="B35" i="4"/>
  <c r="A35" i="4"/>
  <c r="H34" i="4"/>
  <c r="D34" i="4"/>
  <c r="B34" i="4"/>
  <c r="A34" i="4"/>
  <c r="H22" i="4"/>
  <c r="D22" i="4"/>
  <c r="B22" i="4"/>
  <c r="A22" i="4"/>
  <c r="H21" i="4"/>
  <c r="D21" i="4"/>
  <c r="B21" i="4"/>
  <c r="A21" i="4"/>
  <c r="H20" i="4"/>
  <c r="D20" i="4"/>
  <c r="B20" i="4"/>
  <c r="A20" i="4"/>
  <c r="H19" i="4"/>
  <c r="D19" i="4"/>
  <c r="B19" i="4"/>
  <c r="A19" i="4"/>
  <c r="H18" i="4"/>
  <c r="D18" i="4"/>
  <c r="B18" i="4"/>
  <c r="A18" i="4"/>
  <c r="H17" i="4"/>
  <c r="D17" i="4"/>
  <c r="B17" i="4"/>
  <c r="A17" i="4"/>
  <c r="H16" i="4"/>
  <c r="D16" i="4"/>
  <c r="B16" i="4"/>
  <c r="A16" i="4"/>
  <c r="H15" i="4"/>
  <c r="D15" i="4"/>
  <c r="B15" i="4"/>
  <c r="A15" i="4"/>
  <c r="H14" i="4"/>
  <c r="D14" i="4"/>
  <c r="B14" i="4"/>
  <c r="A14" i="4"/>
  <c r="H13" i="4"/>
  <c r="D13" i="4"/>
  <c r="B13" i="4"/>
  <c r="A13" i="4"/>
  <c r="H12" i="4"/>
  <c r="D12" i="4"/>
  <c r="B12" i="4"/>
  <c r="A12" i="4"/>
  <c r="H33" i="4"/>
  <c r="D33" i="4"/>
  <c r="B33" i="4"/>
  <c r="A33" i="4"/>
  <c r="H32" i="4"/>
  <c r="D32" i="4"/>
  <c r="B32" i="4"/>
  <c r="A32" i="4"/>
  <c r="H31" i="4"/>
  <c r="D31" i="4"/>
  <c r="B31" i="4"/>
  <c r="A31" i="4"/>
  <c r="H30" i="4"/>
  <c r="D30" i="4"/>
  <c r="B30" i="4"/>
  <c r="A30" i="4"/>
  <c r="H29" i="4"/>
  <c r="D29" i="4"/>
  <c r="B29" i="4"/>
  <c r="A29" i="4"/>
  <c r="H28" i="4"/>
  <c r="D28" i="4"/>
  <c r="B28" i="4"/>
  <c r="A28" i="4"/>
  <c r="H11" i="4"/>
  <c r="D11" i="4"/>
  <c r="B11" i="4"/>
  <c r="A11" i="4"/>
  <c r="H27" i="4"/>
  <c r="D27" i="4"/>
  <c r="B27" i="4"/>
  <c r="A27" i="4"/>
  <c r="H26" i="4"/>
  <c r="D26" i="4"/>
  <c r="B26" i="4"/>
  <c r="A26" i="4"/>
  <c r="H25" i="4"/>
  <c r="D25" i="4"/>
  <c r="B25" i="4"/>
  <c r="A25" i="4"/>
  <c r="H24" i="4"/>
  <c r="D24" i="4"/>
  <c r="B24" i="4"/>
  <c r="A24" i="4"/>
  <c r="Q46" i="3"/>
  <c r="F16" i="3"/>
  <c r="F17" i="3" s="1"/>
  <c r="C17" i="3"/>
  <c r="Q42" i="3"/>
  <c r="Q43" i="3"/>
  <c r="Q34" i="3"/>
  <c r="Q25" i="3"/>
  <c r="Q32" i="3"/>
  <c r="Q33" i="3"/>
  <c r="Q35" i="3"/>
  <c r="Q36" i="3"/>
  <c r="Q37" i="3"/>
  <c r="Q38" i="3"/>
  <c r="Q39" i="3"/>
  <c r="I40" i="3"/>
  <c r="Q40" i="3"/>
  <c r="Q41" i="3"/>
  <c r="C19" i="2"/>
  <c r="E21" i="2"/>
  <c r="F21" i="2"/>
  <c r="Q21" i="2"/>
  <c r="E22" i="2"/>
  <c r="F22" i="2"/>
  <c r="G22" i="2"/>
  <c r="Q22" i="2"/>
  <c r="E23" i="2"/>
  <c r="F23" i="2"/>
  <c r="G23" i="2"/>
  <c r="I23" i="2"/>
  <c r="Q23" i="2"/>
  <c r="E24" i="2"/>
  <c r="F24" i="2"/>
  <c r="G24" i="2"/>
  <c r="I24" i="2"/>
  <c r="Q24" i="2"/>
  <c r="E25" i="2"/>
  <c r="F25" i="2"/>
  <c r="G25" i="2"/>
  <c r="I25" i="2"/>
  <c r="Q25" i="2"/>
  <c r="E26" i="2"/>
  <c r="F26" i="2"/>
  <c r="G26" i="2"/>
  <c r="I26" i="2"/>
  <c r="Q26" i="2"/>
  <c r="E27" i="2"/>
  <c r="F27" i="2"/>
  <c r="G27" i="2"/>
  <c r="I27" i="2"/>
  <c r="Q27" i="2"/>
  <c r="E28" i="2"/>
  <c r="F28" i="2"/>
  <c r="G28" i="2"/>
  <c r="I28" i="2"/>
  <c r="Q28" i="2"/>
  <c r="E29" i="2"/>
  <c r="F29" i="2"/>
  <c r="G29" i="2"/>
  <c r="J29" i="2"/>
  <c r="Q29" i="2"/>
  <c r="E30" i="2"/>
  <c r="F30" i="2"/>
  <c r="G30" i="2"/>
  <c r="I30" i="2"/>
  <c r="Q30" i="2"/>
  <c r="C8" i="1"/>
  <c r="E21" i="1"/>
  <c r="F21" i="1"/>
  <c r="G21" i="1"/>
  <c r="C19" i="1"/>
  <c r="Q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Q25" i="1"/>
  <c r="Q26" i="1"/>
  <c r="Q27" i="1"/>
  <c r="Q28" i="1"/>
  <c r="Q29" i="1"/>
  <c r="E30" i="1"/>
  <c r="F30" i="1"/>
  <c r="G30" i="1"/>
  <c r="I30" i="1"/>
  <c r="Q30" i="1"/>
  <c r="I22" i="2"/>
  <c r="C12" i="2"/>
  <c r="C16" i="2"/>
  <c r="D18" i="2"/>
  <c r="H21" i="1"/>
  <c r="C11" i="1"/>
  <c r="C11" i="2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J29" i="1"/>
  <c r="O21" i="1"/>
  <c r="R21" i="1"/>
  <c r="C15" i="1"/>
  <c r="C18" i="1"/>
  <c r="O25" i="1"/>
  <c r="R25" i="1"/>
  <c r="O24" i="1"/>
  <c r="R24" i="1"/>
  <c r="O23" i="1"/>
  <c r="R23" i="1"/>
  <c r="O22" i="1"/>
  <c r="R22" i="1"/>
  <c r="O30" i="1"/>
  <c r="R30" i="1"/>
  <c r="O29" i="1"/>
  <c r="R29" i="1"/>
  <c r="C12" i="1"/>
  <c r="C16" i="1"/>
  <c r="D18" i="1"/>
  <c r="O21" i="2"/>
  <c r="O25" i="2"/>
  <c r="C15" i="2"/>
  <c r="C18" i="2"/>
  <c r="O23" i="2"/>
  <c r="O27" i="2"/>
  <c r="O28" i="2"/>
  <c r="O29" i="2"/>
  <c r="O22" i="2"/>
  <c r="O26" i="2"/>
  <c r="O30" i="2"/>
  <c r="O24" i="2"/>
  <c r="O28" i="1"/>
  <c r="R28" i="1"/>
  <c r="R16" i="1"/>
  <c r="O26" i="1"/>
  <c r="R26" i="1"/>
  <c r="O27" i="1"/>
  <c r="R27" i="1"/>
  <c r="R15" i="1"/>
  <c r="R17" i="1"/>
  <c r="C11" i="3"/>
  <c r="C12" i="3"/>
  <c r="C16" i="3" l="1"/>
  <c r="D18" i="3" s="1"/>
  <c r="O41" i="3"/>
  <c r="S41" i="3" s="1"/>
  <c r="O28" i="3"/>
  <c r="S28" i="3" s="1"/>
  <c r="O39" i="3"/>
  <c r="S39" i="3" s="1"/>
  <c r="O35" i="3"/>
  <c r="S35" i="3" s="1"/>
  <c r="O27" i="3"/>
  <c r="S27" i="3" s="1"/>
  <c r="O30" i="3"/>
  <c r="S30" i="3" s="1"/>
  <c r="O48" i="3"/>
  <c r="S48" i="3" s="1"/>
  <c r="O42" i="3"/>
  <c r="S42" i="3" s="1"/>
  <c r="O26" i="3"/>
  <c r="S26" i="3" s="1"/>
  <c r="O36" i="3"/>
  <c r="S36" i="3" s="1"/>
  <c r="O40" i="3"/>
  <c r="S40" i="3" s="1"/>
  <c r="O33" i="3"/>
  <c r="S33" i="3" s="1"/>
  <c r="O21" i="3"/>
  <c r="S21" i="3" s="1"/>
  <c r="O24" i="3"/>
  <c r="S24" i="3" s="1"/>
  <c r="O29" i="3"/>
  <c r="S29" i="3" s="1"/>
  <c r="O38" i="3"/>
  <c r="S38" i="3" s="1"/>
  <c r="O31" i="3"/>
  <c r="S31" i="3" s="1"/>
  <c r="O45" i="3"/>
  <c r="S45" i="3" s="1"/>
  <c r="O34" i="3"/>
  <c r="S34" i="3" s="1"/>
  <c r="O37" i="3"/>
  <c r="S37" i="3" s="1"/>
  <c r="O22" i="3"/>
  <c r="S22" i="3" s="1"/>
  <c r="O23" i="3"/>
  <c r="S23" i="3" s="1"/>
  <c r="O44" i="3"/>
  <c r="S44" i="3" s="1"/>
  <c r="O43" i="3"/>
  <c r="S43" i="3" s="1"/>
  <c r="C15" i="3"/>
  <c r="O32" i="3"/>
  <c r="S32" i="3" s="1"/>
  <c r="O47" i="3"/>
  <c r="S47" i="3" s="1"/>
  <c r="O25" i="3"/>
  <c r="O46" i="3"/>
  <c r="S46" i="3" s="1"/>
  <c r="F18" i="3" l="1"/>
  <c r="F19" i="3" s="1"/>
  <c r="C18" i="3"/>
</calcChain>
</file>

<file path=xl/sharedStrings.xml><?xml version="1.0" encoding="utf-8"?>
<sst xmlns="http://schemas.openxmlformats.org/spreadsheetml/2006/main" count="439" uniqueCount="189">
  <si>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</si>
  <si>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</si>
  <si>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</si>
  <si>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</si>
  <si>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</si>
  <si>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</si>
  <si>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</si>
  <si>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</si>
  <si>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</si>
  <si>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</si>
  <si>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</si>
  <si>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</si>
  <si>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</si>
  <si>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</si>
  <si>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</si>
  <si>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</si>
  <si>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</si>
  <si>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</si>
  <si>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</si>
  <si>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</si>
  <si>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</si>
  <si>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</si>
  <si>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</si>
  <si>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</si>
  <si>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</si>
  <si>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</si>
  <si>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</si>
  <si>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</si>
  <si>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</si>
  <si>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</si>
  <si>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V357 Cas</t>
  </si>
  <si>
    <t>Unclear</t>
  </si>
  <si>
    <t>EB</t>
  </si>
  <si>
    <t>IBVS 4711</t>
  </si>
  <si>
    <t>IBVS 4887</t>
  </si>
  <si>
    <t>IBVS 5016</t>
  </si>
  <si>
    <t>IBVS 5296</t>
  </si>
  <si>
    <t>II</t>
  </si>
  <si>
    <t>IBVS 5371</t>
  </si>
  <si>
    <t>IBVS 5643</t>
  </si>
  <si>
    <t>IBVS</t>
  </si>
  <si>
    <t>Nelson</t>
  </si>
  <si>
    <t>This has to be the right period!</t>
  </si>
  <si>
    <r>
      <t>diff</t>
    </r>
    <r>
      <rPr>
        <b/>
        <vertAlign val="superscript"/>
        <sz val="10"/>
        <rFont val="Arial"/>
        <family val="2"/>
      </rPr>
      <t>2</t>
    </r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</si>
  <si>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</si>
  <si>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</si>
  <si>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</si>
  <si>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</si>
  <si>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</si>
  <si>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</si>
  <si>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</si>
  <si>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</si>
  <si>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OEJV 0074</t>
  </si>
  <si>
    <t>CCD</t>
  </si>
  <si>
    <t>Add cycle</t>
  </si>
  <si>
    <t>Old Cycle</t>
  </si>
  <si>
    <t>IBVS 5960</t>
  </si>
  <si>
    <t>I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</si>
  <si>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</si>
  <si>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</si>
  <si>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</si>
  <si>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</si>
  <si>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</si>
  <si>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</si>
  <si>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</si>
  <si>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</si>
  <si>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</si>
  <si>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</si>
  <si>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2427960.511 </t>
  </si>
  <si>
    <t> 07.06.1935 00:15 </t>
  </si>
  <si>
    <t> 0.008 </t>
  </si>
  <si>
    <t>P </t>
  </si>
  <si>
    <t> H.Huth </t>
  </si>
  <si>
    <t> VSS 4.157 </t>
  </si>
  <si>
    <t>2428487.350 </t>
  </si>
  <si>
    <t> 14.11.1936 20:24 </t>
  </si>
  <si>
    <t> 0.030 </t>
  </si>
  <si>
    <t>2428511.252 </t>
  </si>
  <si>
    <t> 08.12.1936 18:02 </t>
  </si>
  <si>
    <t> -0.032 </t>
  </si>
  <si>
    <t>2428835.336 </t>
  </si>
  <si>
    <t> 28.10.1937 20:03 </t>
  </si>
  <si>
    <t> -0.026 </t>
  </si>
  <si>
    <t>2429456.512 </t>
  </si>
  <si>
    <t> 12.07.1939 00:17 </t>
  </si>
  <si>
    <t> 0.000 </t>
  </si>
  <si>
    <t>2429494.567 </t>
  </si>
  <si>
    <t> 19.08.1939 01:36 </t>
  </si>
  <si>
    <t> 0.018 </t>
  </si>
  <si>
    <t>2429877.551 </t>
  </si>
  <si>
    <t> 05.09.1940 01:13 </t>
  </si>
  <si>
    <t> -0.034 </t>
  </si>
  <si>
    <t>2430178.492 </t>
  </si>
  <si>
    <t> 02.07.1941 23:48 </t>
  </si>
  <si>
    <t> 0.031 </t>
  </si>
  <si>
    <t>2430259.510 </t>
  </si>
  <si>
    <t> 22.09.1941 00:14 </t>
  </si>
  <si>
    <t>2433917.520 </t>
  </si>
  <si>
    <t> 28.09.1951 00:28 </t>
  </si>
  <si>
    <t> -0.012 </t>
  </si>
  <si>
    <t>2449371.3495 </t>
  </si>
  <si>
    <t> 18.01.1994 20:23 </t>
  </si>
  <si>
    <t> 0.0025 </t>
  </si>
  <si>
    <t>E </t>
  </si>
  <si>
    <t>o</t>
  </si>
  <si>
    <t> F.Agerer </t>
  </si>
  <si>
    <t>BAVM 68 </t>
  </si>
  <si>
    <t>2450000.4614 </t>
  </si>
  <si>
    <t> 09.10.1995 23:04 </t>
  </si>
  <si>
    <t> -0.0233 </t>
  </si>
  <si>
    <t>BAVM 117 </t>
  </si>
  <si>
    <t>2450773.3475 </t>
  </si>
  <si>
    <t> 20.11.1997 20:20 </t>
  </si>
  <si>
    <t> -0.0562 </t>
  </si>
  <si>
    <t>?</t>
  </si>
  <si>
    <t> J.Safar </t>
  </si>
  <si>
    <t>IBVS 4887 </t>
  </si>
  <si>
    <t>2451043.4235 </t>
  </si>
  <si>
    <t> 17.08.1998 22:09 </t>
  </si>
  <si>
    <t> -0.0454 </t>
  </si>
  <si>
    <t>2451468.4013 </t>
  </si>
  <si>
    <t> 16.10.1999 21:37 </t>
  </si>
  <si>
    <t> 0.0552 </t>
  </si>
  <si>
    <t>BAVM 132 </t>
  </si>
  <si>
    <t>2451773.4276 </t>
  </si>
  <si>
    <t> 16.08.2000 22:15 </t>
  </si>
  <si>
    <t> 0.0220 </t>
  </si>
  <si>
    <t>BAVM 152 </t>
  </si>
  <si>
    <t>2451812.3471 </t>
  </si>
  <si>
    <t> 24.09.2000 20:19 </t>
  </si>
  <si>
    <t> 0.1434 </t>
  </si>
  <si>
    <t>2451834.5965 </t>
  </si>
  <si>
    <t> 17.10.2000 02:18 </t>
  </si>
  <si>
    <t> -0.0493 </t>
  </si>
  <si>
    <t> D.Husar </t>
  </si>
  <si>
    <t>BAVM 172 </t>
  </si>
  <si>
    <t>2452120.5508 </t>
  </si>
  <si>
    <t> 30.07.2001 01:13 </t>
  </si>
  <si>
    <t> 0.2445 </t>
  </si>
  <si>
    <t> K.&amp; M.Rätz </t>
  </si>
  <si>
    <t>2452563.7916 </t>
  </si>
  <si>
    <t> 16.10.2002 06:59 </t>
  </si>
  <si>
    <t> 0.3502 </t>
  </si>
  <si>
    <t> R.Nelson </t>
  </si>
  <si>
    <t>IBVS 5371 </t>
  </si>
  <si>
    <t>2452858.49005 </t>
  </si>
  <si>
    <t> 06.08.2003 23:45 </t>
  </si>
  <si>
    <t> 0.25921 </t>
  </si>
  <si>
    <t>C </t>
  </si>
  <si>
    <t> K.Koss </t>
  </si>
  <si>
    <t>OEJV 0074 </t>
  </si>
  <si>
    <t>2454017.4381 </t>
  </si>
  <si>
    <t> 08.10.2006 22:30 </t>
  </si>
  <si>
    <t> 0.2092 </t>
  </si>
  <si>
    <t>-I</t>
  </si>
  <si>
    <t> F. Agerer </t>
  </si>
  <si>
    <t>BAVM 183 </t>
  </si>
  <si>
    <t>2454396.3116 </t>
  </si>
  <si>
    <t> 22.10.2007 19:28 </t>
  </si>
  <si>
    <t>32783</t>
  </si>
  <si>
    <t> 0.2307 </t>
  </si>
  <si>
    <t> Moschner &amp; Frank </t>
  </si>
  <si>
    <t>BAVM 203 </t>
  </si>
  <si>
    <t>2455067.5507 </t>
  </si>
  <si>
    <t> 24.08.2009 01:13 </t>
  </si>
  <si>
    <t>33665.5</t>
  </si>
  <si>
    <t> 0.1106 </t>
  </si>
  <si>
    <t>BAVM 212 </t>
  </si>
  <si>
    <t>2455511.5831 </t>
  </si>
  <si>
    <t> 11.11.2010 01:59 </t>
  </si>
  <si>
    <t>34249</t>
  </si>
  <si>
    <t> 0.2471 </t>
  </si>
  <si>
    <t> R.Diethelm </t>
  </si>
  <si>
    <t>IBVS 5960 </t>
  </si>
  <si>
    <t>2455856.3299 </t>
  </si>
  <si>
    <t> 21.10.2011 19:55 </t>
  </si>
  <si>
    <t>34702</t>
  </si>
  <si>
    <t> 0.3755 </t>
  </si>
  <si>
    <t>BAVM 225 </t>
  </si>
  <si>
    <t>2455874.5936 </t>
  </si>
  <si>
    <t> 09.11.2011 02:14 </t>
  </si>
  <si>
    <t>34726</t>
  </si>
  <si>
    <t> 0.3813 </t>
  </si>
  <si>
    <t>s5</t>
  </si>
  <si>
    <t>s6</t>
  </si>
  <si>
    <t>s7</t>
  </si>
  <si>
    <t>CCD?</t>
  </si>
  <si>
    <t>vis / CCD</t>
  </si>
  <si>
    <t>V0357 Cas / GSC 04003-02012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</si>
</sst>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2" applyNumberFormat="0" applyFont="0" applyFill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1" xfId="0" applyFont="1" applyBorder="1">
      <alignment vertical="top"/>
    </xf>
    <xf numFmtId="0" fontId="0" fillId="0" borderId="1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NumberFormat="1" applyAlignment="1">
      <alignment horizontal="right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0" xfId="0">
      <alignment vertical="top"/>
    </xf>
    <xf numFmtId="0" fontId="10" fillId="0" borderId="0" xfId="0" quotePrefix="1" applyFo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NumberFormat="1" applyAlignment="1"/>
    <xf numFmtId="0" fontId="9" fillId="0" borderId="0" xfId="0" applyFont="1" applyAlignment="1"/>
    <xf numFmtId="0" fontId="11" fillId="0" borderId="1" xfId="0" applyFont="1" applyBorder="1" applyAlignment="1">
      <alignment vertical="center"/>
    </xf>
    <xf numFmtId="0" fontId="6" fillId="0" borderId="5" xfId="0" applyFont="1" applyFill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0" xfId="0" applyNumberFormat="1" applyAlignment="1">
      <alignment horizontal="left"/>
    </xf>
    <xf numFmtId="0" fontId="10" fillId="0" borderId="0" xfId="0" quotePrefix="1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17" fillId="0" borderId="0" xfId="0" applyFont="1">
      <alignment vertical="top"/>
    </xf>
    <xf numFmtId="0" fontId="16" fillId="0" borderId="0" xfId="0" applyFont="1">
      <alignment vertical="top"/>
    </xf>
    <xf numFmtId="0" fontId="11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8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7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" borderId="17" xfId="0" applyFont="1" applyFill="1" applyBorder="1" applyAlignment="1">
      <alignment horizontal="left" vertical="top" wrapText="1" indent="1"/>
    </xf>
    <xf numFmtId="0" fontId="5" fillId="2" borderId="17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right" vertical="top" wrapText="1"/>
    </xf>
    <xf numFmtId="0" fontId="20" fillId="2" borderId="17" xfId="7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0" borderId="10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22" fillId="0" borderId="10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8" fillId="0" borderId="0" xfId="0" applyFont="1" applyAlignment="1">
      <alignment horizontal="left" vertical="top"/>
    </xf>
    <xf numFmtId="0" fontId="24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V0357 Cas - O-C Diagr.</a:t>
            </a:r>
          </a:p>
        </c:rich>
      </c:tx>
      <c:layout>
        <c:manualLayout>
          <c:xMode val="edge"/>
          <c:yMode val="edge"/>
          <c:x val="0.3645161290322580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678942920199375"/>
          <c:w val="0.8048387096774193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-27746</c:v>
                </c:pt>
                <c:pt idx="1">
                  <c:v>-27083</c:v>
                </c:pt>
                <c:pt idx="2">
                  <c:v>-27053</c:v>
                </c:pt>
                <c:pt idx="3">
                  <c:v>-26645</c:v>
                </c:pt>
                <c:pt idx="4">
                  <c:v>-25863</c:v>
                </c:pt>
                <c:pt idx="5">
                  <c:v>-25815</c:v>
                </c:pt>
                <c:pt idx="6">
                  <c:v>-25333</c:v>
                </c:pt>
                <c:pt idx="7">
                  <c:v>-24954</c:v>
                </c:pt>
                <c:pt idx="8">
                  <c:v>-24852</c:v>
                </c:pt>
                <c:pt idx="9">
                  <c:v>-20247</c:v>
                </c:pt>
                <c:pt idx="10">
                  <c:v>-792</c:v>
                </c:pt>
                <c:pt idx="11">
                  <c:v>0</c:v>
                </c:pt>
                <c:pt idx="12">
                  <c:v>973</c:v>
                </c:pt>
                <c:pt idx="13">
                  <c:v>973</c:v>
                </c:pt>
                <c:pt idx="14">
                  <c:v>1313</c:v>
                </c:pt>
                <c:pt idx="15">
                  <c:v>1848</c:v>
                </c:pt>
                <c:pt idx="16">
                  <c:v>2232</c:v>
                </c:pt>
                <c:pt idx="17">
                  <c:v>2281</c:v>
                </c:pt>
                <c:pt idx="18">
                  <c:v>2309</c:v>
                </c:pt>
                <c:pt idx="19">
                  <c:v>2669</c:v>
                </c:pt>
                <c:pt idx="20">
                  <c:v>3227</c:v>
                </c:pt>
                <c:pt idx="21">
                  <c:v>3598</c:v>
                </c:pt>
                <c:pt idx="22">
                  <c:v>5057</c:v>
                </c:pt>
                <c:pt idx="23">
                  <c:v>5534</c:v>
                </c:pt>
                <c:pt idx="24">
                  <c:v>6379</c:v>
                </c:pt>
                <c:pt idx="25">
                  <c:v>6938</c:v>
                </c:pt>
                <c:pt idx="26">
                  <c:v>7372</c:v>
                </c:pt>
                <c:pt idx="27">
                  <c:v>7395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4">
                  <c:v>-0.17420000000129221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D5-4208-8BCD-7A15952481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Active!$D$21:$D$618</c:f>
                <c:numCache>
                  <c:formatCode>General</c:formatCode>
                  <c:ptCount val="59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2.8E-3</c:v>
                  </c:pt>
                  <c:pt idx="13">
                    <c:v>2.8E-3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1.4E-3</c:v>
                  </c:pt>
                  <c:pt idx="17">
                    <c:v>1E-3</c:v>
                  </c:pt>
                  <c:pt idx="18">
                    <c:v>5.1999999999999998E-3</c:v>
                  </c:pt>
                  <c:pt idx="19">
                    <c:v>1.2999999999999999E-3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1.1999999999999999E-3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Active!$D$21:$D$618</c:f>
                <c:numCache>
                  <c:formatCode>General</c:formatCode>
                  <c:ptCount val="59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2.8E-3</c:v>
                  </c:pt>
                  <c:pt idx="13">
                    <c:v>2.8E-3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1.4E-3</c:v>
                  </c:pt>
                  <c:pt idx="17">
                    <c:v>1E-3</c:v>
                  </c:pt>
                  <c:pt idx="18">
                    <c:v>5.1999999999999998E-3</c:v>
                  </c:pt>
                  <c:pt idx="19">
                    <c:v>1.2999999999999999E-3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1.1999999999999999E-3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-27746</c:v>
                </c:pt>
                <c:pt idx="1">
                  <c:v>-27083</c:v>
                </c:pt>
                <c:pt idx="2">
                  <c:v>-27053</c:v>
                </c:pt>
                <c:pt idx="3">
                  <c:v>-26645</c:v>
                </c:pt>
                <c:pt idx="4">
                  <c:v>-25863</c:v>
                </c:pt>
                <c:pt idx="5">
                  <c:v>-25815</c:v>
                </c:pt>
                <c:pt idx="6">
                  <c:v>-25333</c:v>
                </c:pt>
                <c:pt idx="7">
                  <c:v>-24954</c:v>
                </c:pt>
                <c:pt idx="8">
                  <c:v>-24852</c:v>
                </c:pt>
                <c:pt idx="9">
                  <c:v>-20247</c:v>
                </c:pt>
                <c:pt idx="10">
                  <c:v>-792</c:v>
                </c:pt>
                <c:pt idx="11">
                  <c:v>0</c:v>
                </c:pt>
                <c:pt idx="12">
                  <c:v>973</c:v>
                </c:pt>
                <c:pt idx="13">
                  <c:v>973</c:v>
                </c:pt>
                <c:pt idx="14">
                  <c:v>1313</c:v>
                </c:pt>
                <c:pt idx="15">
                  <c:v>1848</c:v>
                </c:pt>
                <c:pt idx="16">
                  <c:v>2232</c:v>
                </c:pt>
                <c:pt idx="17">
                  <c:v>2281</c:v>
                </c:pt>
                <c:pt idx="18">
                  <c:v>2309</c:v>
                </c:pt>
                <c:pt idx="19">
                  <c:v>2669</c:v>
                </c:pt>
                <c:pt idx="20">
                  <c:v>3227</c:v>
                </c:pt>
                <c:pt idx="21">
                  <c:v>3598</c:v>
                </c:pt>
                <c:pt idx="22">
                  <c:v>5057</c:v>
                </c:pt>
                <c:pt idx="23">
                  <c:v>5534</c:v>
                </c:pt>
                <c:pt idx="24">
                  <c:v>6379</c:v>
                </c:pt>
                <c:pt idx="25">
                  <c:v>6938</c:v>
                </c:pt>
                <c:pt idx="26">
                  <c:v>7372</c:v>
                </c:pt>
                <c:pt idx="27">
                  <c:v>7395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-0.19436646101166843</c:v>
                </c:pt>
                <c:pt idx="1">
                  <c:v>-2.7480740827741101E-3</c:v>
                </c:pt>
                <c:pt idx="2">
                  <c:v>6.9053662882652134E-2</c:v>
                </c:pt>
                <c:pt idx="3">
                  <c:v>6.235728560568532E-2</c:v>
                </c:pt>
                <c:pt idx="5">
                  <c:v>-8.7946583626035135E-3</c:v>
                </c:pt>
                <c:pt idx="6">
                  <c:v>0.103353248872736</c:v>
                </c:pt>
                <c:pt idx="7">
                  <c:v>-1.0484807469765656E-2</c:v>
                </c:pt>
                <c:pt idx="8">
                  <c:v>-1.515890178779955E-2</c:v>
                </c:pt>
                <c:pt idx="9">
                  <c:v>5.9407722335890867E-2</c:v>
                </c:pt>
                <c:pt idx="11">
                  <c:v>0</c:v>
                </c:pt>
                <c:pt idx="12">
                  <c:v>-6.6636644332902506E-3</c:v>
                </c:pt>
                <c:pt idx="13">
                  <c:v>-6.6636644332902506E-3</c:v>
                </c:pt>
                <c:pt idx="14">
                  <c:v>-6.2439788380288519E-3</c:v>
                </c:pt>
                <c:pt idx="15">
                  <c:v>-3.1300295813707635E-4</c:v>
                </c:pt>
                <c:pt idx="16">
                  <c:v>-5.5076980061130598E-4</c:v>
                </c:pt>
                <c:pt idx="17">
                  <c:v>-3.7079327667015605E-3</c:v>
                </c:pt>
                <c:pt idx="18">
                  <c:v>4.1736884013516828E-3</c:v>
                </c:pt>
                <c:pt idx="19">
                  <c:v>-3.9054680164554156E-3</c:v>
                </c:pt>
                <c:pt idx="22">
                  <c:v>-3.8720560405636206E-4</c:v>
                </c:pt>
                <c:pt idx="25">
                  <c:v>-8.8182978943223134E-3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D5-4208-8BCD-7A15952481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2.8E-3</c:v>
                  </c:pt>
                  <c:pt idx="13">
                    <c:v>2.8E-3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1.4E-3</c:v>
                  </c:pt>
                  <c:pt idx="17">
                    <c:v>1E-3</c:v>
                  </c:pt>
                  <c:pt idx="18">
                    <c:v>5.1999999999999998E-3</c:v>
                  </c:pt>
                  <c:pt idx="19">
                    <c:v>1.2999999999999999E-3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1.1999999999999999E-3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2.8E-3</c:v>
                  </c:pt>
                  <c:pt idx="13">
                    <c:v>2.8E-3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1.4E-3</c:v>
                  </c:pt>
                  <c:pt idx="17">
                    <c:v>1E-3</c:v>
                  </c:pt>
                  <c:pt idx="18">
                    <c:v>5.1999999999999998E-3</c:v>
                  </c:pt>
                  <c:pt idx="19">
                    <c:v>1.2999999999999999E-3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1.1999999999999999E-3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-27746</c:v>
                </c:pt>
                <c:pt idx="1">
                  <c:v>-27083</c:v>
                </c:pt>
                <c:pt idx="2">
                  <c:v>-27053</c:v>
                </c:pt>
                <c:pt idx="3">
                  <c:v>-26645</c:v>
                </c:pt>
                <c:pt idx="4">
                  <c:v>-25863</c:v>
                </c:pt>
                <c:pt idx="5">
                  <c:v>-25815</c:v>
                </c:pt>
                <c:pt idx="6">
                  <c:v>-25333</c:v>
                </c:pt>
                <c:pt idx="7">
                  <c:v>-24954</c:v>
                </c:pt>
                <c:pt idx="8">
                  <c:v>-24852</c:v>
                </c:pt>
                <c:pt idx="9">
                  <c:v>-20247</c:v>
                </c:pt>
                <c:pt idx="10">
                  <c:v>-792</c:v>
                </c:pt>
                <c:pt idx="11">
                  <c:v>0</c:v>
                </c:pt>
                <c:pt idx="12">
                  <c:v>973</c:v>
                </c:pt>
                <c:pt idx="13">
                  <c:v>973</c:v>
                </c:pt>
                <c:pt idx="14">
                  <c:v>1313</c:v>
                </c:pt>
                <c:pt idx="15">
                  <c:v>1848</c:v>
                </c:pt>
                <c:pt idx="16">
                  <c:v>2232</c:v>
                </c:pt>
                <c:pt idx="17">
                  <c:v>2281</c:v>
                </c:pt>
                <c:pt idx="18">
                  <c:v>2309</c:v>
                </c:pt>
                <c:pt idx="19">
                  <c:v>2669</c:v>
                </c:pt>
                <c:pt idx="20">
                  <c:v>3227</c:v>
                </c:pt>
                <c:pt idx="21">
                  <c:v>3598</c:v>
                </c:pt>
                <c:pt idx="22">
                  <c:v>5057</c:v>
                </c:pt>
                <c:pt idx="23">
                  <c:v>5534</c:v>
                </c:pt>
                <c:pt idx="24">
                  <c:v>6379</c:v>
                </c:pt>
                <c:pt idx="25">
                  <c:v>6938</c:v>
                </c:pt>
                <c:pt idx="26">
                  <c:v>7372</c:v>
                </c:pt>
                <c:pt idx="27">
                  <c:v>7395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0">
                  <c:v>-4.7931604713085108E-3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D5-4208-8BCD-7A15952481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-27746</c:v>
                </c:pt>
                <c:pt idx="1">
                  <c:v>-27083</c:v>
                </c:pt>
                <c:pt idx="2">
                  <c:v>-27053</c:v>
                </c:pt>
                <c:pt idx="3">
                  <c:v>-26645</c:v>
                </c:pt>
                <c:pt idx="4">
                  <c:v>-25863</c:v>
                </c:pt>
                <c:pt idx="5">
                  <c:v>-25815</c:v>
                </c:pt>
                <c:pt idx="6">
                  <c:v>-25333</c:v>
                </c:pt>
                <c:pt idx="7">
                  <c:v>-24954</c:v>
                </c:pt>
                <c:pt idx="8">
                  <c:v>-24852</c:v>
                </c:pt>
                <c:pt idx="9">
                  <c:v>-20247</c:v>
                </c:pt>
                <c:pt idx="10">
                  <c:v>-792</c:v>
                </c:pt>
                <c:pt idx="11">
                  <c:v>0</c:v>
                </c:pt>
                <c:pt idx="12">
                  <c:v>973</c:v>
                </c:pt>
                <c:pt idx="13">
                  <c:v>973</c:v>
                </c:pt>
                <c:pt idx="14">
                  <c:v>1313</c:v>
                </c:pt>
                <c:pt idx="15">
                  <c:v>1848</c:v>
                </c:pt>
                <c:pt idx="16">
                  <c:v>2232</c:v>
                </c:pt>
                <c:pt idx="17">
                  <c:v>2281</c:v>
                </c:pt>
                <c:pt idx="18">
                  <c:v>2309</c:v>
                </c:pt>
                <c:pt idx="19">
                  <c:v>2669</c:v>
                </c:pt>
                <c:pt idx="20">
                  <c:v>3227</c:v>
                </c:pt>
                <c:pt idx="21">
                  <c:v>3598</c:v>
                </c:pt>
                <c:pt idx="22">
                  <c:v>5057</c:v>
                </c:pt>
                <c:pt idx="23">
                  <c:v>5534</c:v>
                </c:pt>
                <c:pt idx="24">
                  <c:v>6379</c:v>
                </c:pt>
                <c:pt idx="25">
                  <c:v>6938</c:v>
                </c:pt>
                <c:pt idx="26">
                  <c:v>7372</c:v>
                </c:pt>
                <c:pt idx="27">
                  <c:v>7395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5.3341441234806553E-3</c:v>
                </c:pt>
                <c:pt idx="23">
                  <c:v>-2.7039587861509062E-2</c:v>
                </c:pt>
                <c:pt idx="24">
                  <c:v>-5.1906633452745155E-3</c:v>
                </c:pt>
                <c:pt idx="26">
                  <c:v>-5.5531698089907877E-3</c:v>
                </c:pt>
                <c:pt idx="27">
                  <c:v>-1.1671838132315315E-2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D5-4208-8BCD-7A15952481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-27746</c:v>
                </c:pt>
                <c:pt idx="1">
                  <c:v>-27083</c:v>
                </c:pt>
                <c:pt idx="2">
                  <c:v>-27053</c:v>
                </c:pt>
                <c:pt idx="3">
                  <c:v>-26645</c:v>
                </c:pt>
                <c:pt idx="4">
                  <c:v>-25863</c:v>
                </c:pt>
                <c:pt idx="5">
                  <c:v>-25815</c:v>
                </c:pt>
                <c:pt idx="6">
                  <c:v>-25333</c:v>
                </c:pt>
                <c:pt idx="7">
                  <c:v>-24954</c:v>
                </c:pt>
                <c:pt idx="8">
                  <c:v>-24852</c:v>
                </c:pt>
                <c:pt idx="9">
                  <c:v>-20247</c:v>
                </c:pt>
                <c:pt idx="10">
                  <c:v>-792</c:v>
                </c:pt>
                <c:pt idx="11">
                  <c:v>0</c:v>
                </c:pt>
                <c:pt idx="12">
                  <c:v>973</c:v>
                </c:pt>
                <c:pt idx="13">
                  <c:v>973</c:v>
                </c:pt>
                <c:pt idx="14">
                  <c:v>1313</c:v>
                </c:pt>
                <c:pt idx="15">
                  <c:v>1848</c:v>
                </c:pt>
                <c:pt idx="16">
                  <c:v>2232</c:v>
                </c:pt>
                <c:pt idx="17">
                  <c:v>2281</c:v>
                </c:pt>
                <c:pt idx="18">
                  <c:v>2309</c:v>
                </c:pt>
                <c:pt idx="19">
                  <c:v>2669</c:v>
                </c:pt>
                <c:pt idx="20">
                  <c:v>3227</c:v>
                </c:pt>
                <c:pt idx="21">
                  <c:v>3598</c:v>
                </c:pt>
                <c:pt idx="22">
                  <c:v>5057</c:v>
                </c:pt>
                <c:pt idx="23">
                  <c:v>5534</c:v>
                </c:pt>
                <c:pt idx="24">
                  <c:v>6379</c:v>
                </c:pt>
                <c:pt idx="25">
                  <c:v>6938</c:v>
                </c:pt>
                <c:pt idx="26">
                  <c:v>7372</c:v>
                </c:pt>
                <c:pt idx="27">
                  <c:v>7395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D5-4208-8BCD-7A15952481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-27746</c:v>
                </c:pt>
                <c:pt idx="1">
                  <c:v>-27083</c:v>
                </c:pt>
                <c:pt idx="2">
                  <c:v>-27053</c:v>
                </c:pt>
                <c:pt idx="3">
                  <c:v>-26645</c:v>
                </c:pt>
                <c:pt idx="4">
                  <c:v>-25863</c:v>
                </c:pt>
                <c:pt idx="5">
                  <c:v>-25815</c:v>
                </c:pt>
                <c:pt idx="6">
                  <c:v>-25333</c:v>
                </c:pt>
                <c:pt idx="7">
                  <c:v>-24954</c:v>
                </c:pt>
                <c:pt idx="8">
                  <c:v>-24852</c:v>
                </c:pt>
                <c:pt idx="9">
                  <c:v>-20247</c:v>
                </c:pt>
                <c:pt idx="10">
                  <c:v>-792</c:v>
                </c:pt>
                <c:pt idx="11">
                  <c:v>0</c:v>
                </c:pt>
                <c:pt idx="12">
                  <c:v>973</c:v>
                </c:pt>
                <c:pt idx="13">
                  <c:v>973</c:v>
                </c:pt>
                <c:pt idx="14">
                  <c:v>1313</c:v>
                </c:pt>
                <c:pt idx="15">
                  <c:v>1848</c:v>
                </c:pt>
                <c:pt idx="16">
                  <c:v>2232</c:v>
                </c:pt>
                <c:pt idx="17">
                  <c:v>2281</c:v>
                </c:pt>
                <c:pt idx="18">
                  <c:v>2309</c:v>
                </c:pt>
                <c:pt idx="19">
                  <c:v>2669</c:v>
                </c:pt>
                <c:pt idx="20">
                  <c:v>3227</c:v>
                </c:pt>
                <c:pt idx="21">
                  <c:v>3598</c:v>
                </c:pt>
                <c:pt idx="22">
                  <c:v>5057</c:v>
                </c:pt>
                <c:pt idx="23">
                  <c:v>5534</c:v>
                </c:pt>
                <c:pt idx="24">
                  <c:v>6379</c:v>
                </c:pt>
                <c:pt idx="25">
                  <c:v>6938</c:v>
                </c:pt>
                <c:pt idx="26">
                  <c:v>7372</c:v>
                </c:pt>
                <c:pt idx="27">
                  <c:v>7395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D5-4208-8BCD-7A15952481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-27746</c:v>
                </c:pt>
                <c:pt idx="1">
                  <c:v>-27083</c:v>
                </c:pt>
                <c:pt idx="2">
                  <c:v>-27053</c:v>
                </c:pt>
                <c:pt idx="3">
                  <c:v>-26645</c:v>
                </c:pt>
                <c:pt idx="4">
                  <c:v>-25863</c:v>
                </c:pt>
                <c:pt idx="5">
                  <c:v>-25815</c:v>
                </c:pt>
                <c:pt idx="6">
                  <c:v>-25333</c:v>
                </c:pt>
                <c:pt idx="7">
                  <c:v>-24954</c:v>
                </c:pt>
                <c:pt idx="8">
                  <c:v>-24852</c:v>
                </c:pt>
                <c:pt idx="9">
                  <c:v>-20247</c:v>
                </c:pt>
                <c:pt idx="10">
                  <c:v>-792</c:v>
                </c:pt>
                <c:pt idx="11">
                  <c:v>0</c:v>
                </c:pt>
                <c:pt idx="12">
                  <c:v>973</c:v>
                </c:pt>
                <c:pt idx="13">
                  <c:v>973</c:v>
                </c:pt>
                <c:pt idx="14">
                  <c:v>1313</c:v>
                </c:pt>
                <c:pt idx="15">
                  <c:v>1848</c:v>
                </c:pt>
                <c:pt idx="16">
                  <c:v>2232</c:v>
                </c:pt>
                <c:pt idx="17">
                  <c:v>2281</c:v>
                </c:pt>
                <c:pt idx="18">
                  <c:v>2309</c:v>
                </c:pt>
                <c:pt idx="19">
                  <c:v>2669</c:v>
                </c:pt>
                <c:pt idx="20">
                  <c:v>3227</c:v>
                </c:pt>
                <c:pt idx="21">
                  <c:v>3598</c:v>
                </c:pt>
                <c:pt idx="22">
                  <c:v>5057</c:v>
                </c:pt>
                <c:pt idx="23">
                  <c:v>5534</c:v>
                </c:pt>
                <c:pt idx="24">
                  <c:v>6379</c:v>
                </c:pt>
                <c:pt idx="25">
                  <c:v>6938</c:v>
                </c:pt>
                <c:pt idx="26">
                  <c:v>7372</c:v>
                </c:pt>
                <c:pt idx="27">
                  <c:v>7395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21">
                  <c:v>-6.4616800009389408E-3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D5-4208-8BCD-7A15952481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-27746</c:v>
                </c:pt>
                <c:pt idx="1">
                  <c:v>-27083</c:v>
                </c:pt>
                <c:pt idx="2">
                  <c:v>-27053</c:v>
                </c:pt>
                <c:pt idx="3">
                  <c:v>-26645</c:v>
                </c:pt>
                <c:pt idx="4">
                  <c:v>-25863</c:v>
                </c:pt>
                <c:pt idx="5">
                  <c:v>-25815</c:v>
                </c:pt>
                <c:pt idx="6">
                  <c:v>-25333</c:v>
                </c:pt>
                <c:pt idx="7">
                  <c:v>-24954</c:v>
                </c:pt>
                <c:pt idx="8">
                  <c:v>-24852</c:v>
                </c:pt>
                <c:pt idx="9">
                  <c:v>-20247</c:v>
                </c:pt>
                <c:pt idx="10">
                  <c:v>-792</c:v>
                </c:pt>
                <c:pt idx="11">
                  <c:v>0</c:v>
                </c:pt>
                <c:pt idx="12">
                  <c:v>973</c:v>
                </c:pt>
                <c:pt idx="13">
                  <c:v>973</c:v>
                </c:pt>
                <c:pt idx="14">
                  <c:v>1313</c:v>
                </c:pt>
                <c:pt idx="15">
                  <c:v>1848</c:v>
                </c:pt>
                <c:pt idx="16">
                  <c:v>2232</c:v>
                </c:pt>
                <c:pt idx="17">
                  <c:v>2281</c:v>
                </c:pt>
                <c:pt idx="18">
                  <c:v>2309</c:v>
                </c:pt>
                <c:pt idx="19">
                  <c:v>2669</c:v>
                </c:pt>
                <c:pt idx="20">
                  <c:v>3227</c:v>
                </c:pt>
                <c:pt idx="21">
                  <c:v>3598</c:v>
                </c:pt>
                <c:pt idx="22">
                  <c:v>5057</c:v>
                </c:pt>
                <c:pt idx="23">
                  <c:v>5534</c:v>
                </c:pt>
                <c:pt idx="24">
                  <c:v>6379</c:v>
                </c:pt>
                <c:pt idx="25">
                  <c:v>6938</c:v>
                </c:pt>
                <c:pt idx="26">
                  <c:v>7372</c:v>
                </c:pt>
                <c:pt idx="27">
                  <c:v>7395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5.8433692874061399E-3</c:v>
                </c:pt>
                <c:pt idx="1">
                  <c:v>5.6330218995074306E-3</c:v>
                </c:pt>
                <c:pt idx="2">
                  <c:v>5.6235039181545491E-3</c:v>
                </c:pt>
                <c:pt idx="3">
                  <c:v>5.4940593717553426E-3</c:v>
                </c:pt>
                <c:pt idx="4">
                  <c:v>5.2459573244901976E-3</c:v>
                </c:pt>
                <c:pt idx="5">
                  <c:v>5.2307285543255859E-3</c:v>
                </c:pt>
                <c:pt idx="6">
                  <c:v>5.0778063205892676E-3</c:v>
                </c:pt>
                <c:pt idx="7">
                  <c:v>4.9575624894978489E-3</c:v>
                </c:pt>
                <c:pt idx="8">
                  <c:v>4.9252013528980482E-3</c:v>
                </c:pt>
                <c:pt idx="9">
                  <c:v>3.4641912152305393E-3</c:v>
                </c:pt>
                <c:pt idx="10">
                  <c:v>-2.708219692113949E-3</c:v>
                </c:pt>
                <c:pt idx="11">
                  <c:v>-2.9594943998300545E-3</c:v>
                </c:pt>
                <c:pt idx="12">
                  <c:v>-3.2681942617085527E-3</c:v>
                </c:pt>
                <c:pt idx="13">
                  <c:v>-3.2681942617085527E-3</c:v>
                </c:pt>
                <c:pt idx="14">
                  <c:v>-3.3760647170412244E-3</c:v>
                </c:pt>
                <c:pt idx="15">
                  <c:v>-3.5458020511676342E-3</c:v>
                </c:pt>
                <c:pt idx="16">
                  <c:v>-3.667632212484534E-3</c:v>
                </c:pt>
                <c:pt idx="17">
                  <c:v>-3.6831782486942428E-3</c:v>
                </c:pt>
                <c:pt idx="18">
                  <c:v>-3.6920616979569331E-3</c:v>
                </c:pt>
                <c:pt idx="19">
                  <c:v>-3.8062774741915266E-3</c:v>
                </c:pt>
                <c:pt idx="20">
                  <c:v>-3.9833119273551465E-3</c:v>
                </c:pt>
                <c:pt idx="21">
                  <c:v>-4.1010176300857971E-3</c:v>
                </c:pt>
                <c:pt idx="22">
                  <c:v>-4.5639087898809967E-3</c:v>
                </c:pt>
                <c:pt idx="23">
                  <c:v>-4.715244693391833E-3</c:v>
                </c:pt>
                <c:pt idx="24">
                  <c:v>-4.9833345014980313E-3</c:v>
                </c:pt>
                <c:pt idx="25">
                  <c:v>-5.1606862207067474E-3</c:v>
                </c:pt>
                <c:pt idx="26">
                  <c:v>-5.2983796842784522E-3</c:v>
                </c:pt>
                <c:pt idx="27">
                  <c:v>-5.3056768033156619E-3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D5-4208-8BCD-7A159524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453400"/>
        <c:axId val="1"/>
      </c:scatterChart>
      <c:valAx>
        <c:axId val="5984534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451612903225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453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19354838709676"/>
          <c:y val="0.9204921861831491"/>
          <c:w val="0.6548387096774193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V357 Cas - O-C Diagr.</a:t>
            </a:r>
          </a:p>
        </c:rich>
      </c:tx>
      <c:layout>
        <c:manualLayout>
          <c:xMode val="edge"/>
          <c:yMode val="edge"/>
          <c:x val="0.365105347292008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814859468012961"/>
          <c:w val="0.80613956966532596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-27005</c:v>
                </c:pt>
                <c:pt idx="1">
                  <c:v>0</c:v>
                </c:pt>
                <c:pt idx="2">
                  <c:v>1016</c:v>
                </c:pt>
                <c:pt idx="3">
                  <c:v>1371</c:v>
                </c:pt>
                <c:pt idx="4">
                  <c:v>1929.5</c:v>
                </c:pt>
                <c:pt idx="5">
                  <c:v>2330.5</c:v>
                </c:pt>
                <c:pt idx="6">
                  <c:v>2381.5</c:v>
                </c:pt>
                <c:pt idx="7">
                  <c:v>2787</c:v>
                </c:pt>
                <c:pt idx="8">
                  <c:v>3369.5</c:v>
                </c:pt>
                <c:pt idx="9">
                  <c:v>2411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2.3334999998041894E-2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5A-44A1-B3FA-E259ECA2300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(old)'!$D$22:$D$50</c:f>
                <c:numCache>
                  <c:formatCode>General</c:formatCode>
                  <c:ptCount val="29"/>
                  <c:pt idx="0">
                    <c:v>5.9999999999999995E-4</c:v>
                  </c:pt>
                  <c:pt idx="1">
                    <c:v>2.8E-3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1.4E-3</c:v>
                  </c:pt>
                  <c:pt idx="5">
                    <c:v>1E-3</c:v>
                  </c:pt>
                  <c:pt idx="6">
                    <c:v>1.2999999999999999E-3</c:v>
                  </c:pt>
                  <c:pt idx="7">
                    <c:v>4.0000000000000002E-4</c:v>
                  </c:pt>
                  <c:pt idx="8">
                    <c:v>5.1999999999999998E-3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-27005</c:v>
                </c:pt>
                <c:pt idx="1">
                  <c:v>0</c:v>
                </c:pt>
                <c:pt idx="2">
                  <c:v>1016</c:v>
                </c:pt>
                <c:pt idx="3">
                  <c:v>1371</c:v>
                </c:pt>
                <c:pt idx="4">
                  <c:v>1929.5</c:v>
                </c:pt>
                <c:pt idx="5">
                  <c:v>2330.5</c:v>
                </c:pt>
                <c:pt idx="6">
                  <c:v>2381.5</c:v>
                </c:pt>
                <c:pt idx="7">
                  <c:v>2787</c:v>
                </c:pt>
                <c:pt idx="8">
                  <c:v>3369.5</c:v>
                </c:pt>
                <c:pt idx="9">
                  <c:v>2411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0</c:v>
                </c:pt>
                <c:pt idx="2">
                  <c:v>-3.285199999663746E-2</c:v>
                </c:pt>
                <c:pt idx="3">
                  <c:v>-2.2037000002455898E-2</c:v>
                </c:pt>
                <c:pt idx="4">
                  <c:v>7.8563499999290798E-2</c:v>
                </c:pt>
                <c:pt idx="5">
                  <c:v>4.5316499999898952E-2</c:v>
                </c:pt>
                <c:pt idx="6">
                  <c:v>0.16671949999727076</c:v>
                </c:pt>
                <c:pt idx="7">
                  <c:v>-0.11248900000646245</c:v>
                </c:pt>
                <c:pt idx="9">
                  <c:v>-2.5916999999026302E-2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5A-44A1-B3FA-E259ECA2300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(old)'!$D$21:$D$50</c:f>
                <c:numCache>
                  <c:formatCode>General</c:formatCode>
                  <c:ptCount val="30"/>
                  <c:pt idx="1">
                    <c:v>5.9999999999999995E-4</c:v>
                  </c:pt>
                  <c:pt idx="2">
                    <c:v>2.8E-3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1E-3</c:v>
                  </c:pt>
                  <c:pt idx="7">
                    <c:v>1.2999999999999999E-3</c:v>
                  </c:pt>
                  <c:pt idx="8">
                    <c:v>4.0000000000000002E-4</c:v>
                  </c:pt>
                  <c:pt idx="9">
                    <c:v>5.1999999999999998E-3</c:v>
                  </c:pt>
                </c:numCache>
              </c:numRef>
            </c:plus>
            <c:minus>
              <c:numRef>
                <c:f>'A (old)'!$D$21:$D$50</c:f>
                <c:numCache>
                  <c:formatCode>General</c:formatCode>
                  <c:ptCount val="30"/>
                  <c:pt idx="1">
                    <c:v>5.9999999999999995E-4</c:v>
                  </c:pt>
                  <c:pt idx="2">
                    <c:v>2.8E-3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1E-3</c:v>
                  </c:pt>
                  <c:pt idx="7">
                    <c:v>1.2999999999999999E-3</c:v>
                  </c:pt>
                  <c:pt idx="8">
                    <c:v>4.0000000000000002E-4</c:v>
                  </c:pt>
                  <c:pt idx="9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-27005</c:v>
                </c:pt>
                <c:pt idx="1">
                  <c:v>0</c:v>
                </c:pt>
                <c:pt idx="2">
                  <c:v>1016</c:v>
                </c:pt>
                <c:pt idx="3">
                  <c:v>1371</c:v>
                </c:pt>
                <c:pt idx="4">
                  <c:v>1929.5</c:v>
                </c:pt>
                <c:pt idx="5">
                  <c:v>2330.5</c:v>
                </c:pt>
                <c:pt idx="6">
                  <c:v>2381.5</c:v>
                </c:pt>
                <c:pt idx="7">
                  <c:v>2787</c:v>
                </c:pt>
                <c:pt idx="8">
                  <c:v>3369.5</c:v>
                </c:pt>
                <c:pt idx="9">
                  <c:v>2411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8">
                  <c:v>-6.816500004788395E-3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5A-44A1-B3FA-E259ECA2300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-27005</c:v>
                </c:pt>
                <c:pt idx="1">
                  <c:v>0</c:v>
                </c:pt>
                <c:pt idx="2">
                  <c:v>1016</c:v>
                </c:pt>
                <c:pt idx="3">
                  <c:v>1371</c:v>
                </c:pt>
                <c:pt idx="4">
                  <c:v>1929.5</c:v>
                </c:pt>
                <c:pt idx="5">
                  <c:v>2330.5</c:v>
                </c:pt>
                <c:pt idx="6">
                  <c:v>2381.5</c:v>
                </c:pt>
                <c:pt idx="7">
                  <c:v>2787</c:v>
                </c:pt>
                <c:pt idx="8">
                  <c:v>3369.5</c:v>
                </c:pt>
                <c:pt idx="9">
                  <c:v>2411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5A-44A1-B3FA-E259ECA2300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-27005</c:v>
                </c:pt>
                <c:pt idx="1">
                  <c:v>0</c:v>
                </c:pt>
                <c:pt idx="2">
                  <c:v>1016</c:v>
                </c:pt>
                <c:pt idx="3">
                  <c:v>1371</c:v>
                </c:pt>
                <c:pt idx="4">
                  <c:v>1929.5</c:v>
                </c:pt>
                <c:pt idx="5">
                  <c:v>2330.5</c:v>
                </c:pt>
                <c:pt idx="6">
                  <c:v>2381.5</c:v>
                </c:pt>
                <c:pt idx="7">
                  <c:v>2787</c:v>
                </c:pt>
                <c:pt idx="8">
                  <c:v>3369.5</c:v>
                </c:pt>
                <c:pt idx="9">
                  <c:v>2411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5A-44A1-B3FA-E259ECA2300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-27005</c:v>
                </c:pt>
                <c:pt idx="1">
                  <c:v>0</c:v>
                </c:pt>
                <c:pt idx="2">
                  <c:v>1016</c:v>
                </c:pt>
                <c:pt idx="3">
                  <c:v>1371</c:v>
                </c:pt>
                <c:pt idx="4">
                  <c:v>1929.5</c:v>
                </c:pt>
                <c:pt idx="5">
                  <c:v>2330.5</c:v>
                </c:pt>
                <c:pt idx="6">
                  <c:v>2381.5</c:v>
                </c:pt>
                <c:pt idx="7">
                  <c:v>2787</c:v>
                </c:pt>
                <c:pt idx="8">
                  <c:v>3369.5</c:v>
                </c:pt>
                <c:pt idx="9">
                  <c:v>2411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5A-44A1-B3FA-E259ECA2300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-27005</c:v>
                </c:pt>
                <c:pt idx="1">
                  <c:v>0</c:v>
                </c:pt>
                <c:pt idx="2">
                  <c:v>1016</c:v>
                </c:pt>
                <c:pt idx="3">
                  <c:v>1371</c:v>
                </c:pt>
                <c:pt idx="4">
                  <c:v>1929.5</c:v>
                </c:pt>
                <c:pt idx="5">
                  <c:v>2330.5</c:v>
                </c:pt>
                <c:pt idx="6">
                  <c:v>2381.5</c:v>
                </c:pt>
                <c:pt idx="7">
                  <c:v>2787</c:v>
                </c:pt>
                <c:pt idx="8">
                  <c:v>3369.5</c:v>
                </c:pt>
                <c:pt idx="9">
                  <c:v>2411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5A-44A1-B3FA-E259ECA2300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-27005</c:v>
                </c:pt>
                <c:pt idx="1">
                  <c:v>0</c:v>
                </c:pt>
                <c:pt idx="2">
                  <c:v>1016</c:v>
                </c:pt>
                <c:pt idx="3">
                  <c:v>1371</c:v>
                </c:pt>
                <c:pt idx="4">
                  <c:v>1929.5</c:v>
                </c:pt>
                <c:pt idx="5">
                  <c:v>2330.5</c:v>
                </c:pt>
                <c:pt idx="6">
                  <c:v>2381.5</c:v>
                </c:pt>
                <c:pt idx="7">
                  <c:v>2787</c:v>
                </c:pt>
                <c:pt idx="8">
                  <c:v>3369.5</c:v>
                </c:pt>
                <c:pt idx="9">
                  <c:v>2411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2.2700800344935726E-2</c:v>
                </c:pt>
                <c:pt idx="1">
                  <c:v>1.0973708219938486E-2</c:v>
                </c:pt>
                <c:pt idx="2">
                  <c:v>1.053250379116614E-2</c:v>
                </c:pt>
                <c:pt idx="3">
                  <c:v>1.0378342794892338E-2</c:v>
                </c:pt>
                <c:pt idx="4">
                  <c:v>1.0135810635965808E-2</c:v>
                </c:pt>
                <c:pt idx="5">
                  <c:v>9.9616738486255421E-3</c:v>
                </c:pt>
                <c:pt idx="6">
                  <c:v>9.939526775921418E-3</c:v>
                </c:pt>
                <c:pt idx="7">
                  <c:v>9.7634358351072585E-3</c:v>
                </c:pt>
                <c:pt idx="8">
                  <c:v>9.5104815243199636E-3</c:v>
                </c:pt>
                <c:pt idx="9">
                  <c:v>9.9267162142592288E-3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5A-44A1-B3FA-E259ECA23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138760"/>
        <c:axId val="1"/>
      </c:scatterChart>
      <c:valAx>
        <c:axId val="422138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138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285962033421104"/>
          <c:y val="0.91975600272188196"/>
          <c:w val="0.91437870750808825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V357 Cas - O-C Diagr.</a:t>
            </a:r>
          </a:p>
        </c:rich>
      </c:tx>
      <c:layout>
        <c:manualLayout>
          <c:xMode val="edge"/>
          <c:yMode val="edge"/>
          <c:x val="0.365105347292008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814859468012961"/>
          <c:w val="0.8158326306232256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-25864</c:v>
                </c:pt>
                <c:pt idx="1">
                  <c:v>0</c:v>
                </c:pt>
                <c:pt idx="2">
                  <c:v>973</c:v>
                </c:pt>
                <c:pt idx="3">
                  <c:v>1313</c:v>
                </c:pt>
                <c:pt idx="4">
                  <c:v>1848</c:v>
                </c:pt>
                <c:pt idx="5">
                  <c:v>2232</c:v>
                </c:pt>
                <c:pt idx="6">
                  <c:v>2281</c:v>
                </c:pt>
                <c:pt idx="7">
                  <c:v>2669</c:v>
                </c:pt>
                <c:pt idx="8">
                  <c:v>3227</c:v>
                </c:pt>
                <c:pt idx="9">
                  <c:v>2309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-0.17420000000129221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9E-46A0-B3DB-3186566464C7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B!$D$22:$D$50</c:f>
                <c:numCache>
                  <c:formatCode>General</c:formatCode>
                  <c:ptCount val="29"/>
                  <c:pt idx="0">
                    <c:v>5.9999999999999995E-4</c:v>
                  </c:pt>
                  <c:pt idx="1">
                    <c:v>2.8E-3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1.4E-3</c:v>
                  </c:pt>
                  <c:pt idx="5">
                    <c:v>1E-3</c:v>
                  </c:pt>
                  <c:pt idx="6">
                    <c:v>1.2999999999999999E-3</c:v>
                  </c:pt>
                  <c:pt idx="7">
                    <c:v>4.0000000000000002E-4</c:v>
                  </c:pt>
                  <c:pt idx="8">
                    <c:v>5.1999999999999998E-3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-25864</c:v>
                </c:pt>
                <c:pt idx="1">
                  <c:v>0</c:v>
                </c:pt>
                <c:pt idx="2">
                  <c:v>973</c:v>
                </c:pt>
                <c:pt idx="3">
                  <c:v>1313</c:v>
                </c:pt>
                <c:pt idx="4">
                  <c:v>1848</c:v>
                </c:pt>
                <c:pt idx="5">
                  <c:v>2232</c:v>
                </c:pt>
                <c:pt idx="6">
                  <c:v>2281</c:v>
                </c:pt>
                <c:pt idx="7">
                  <c:v>2669</c:v>
                </c:pt>
                <c:pt idx="8">
                  <c:v>3227</c:v>
                </c:pt>
                <c:pt idx="9">
                  <c:v>2309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  <c:pt idx="1">
                  <c:v>0</c:v>
                </c:pt>
                <c:pt idx="2">
                  <c:v>3.2200000001466833E-2</c:v>
                </c:pt>
                <c:pt idx="3">
                  <c:v>4.6199999997043051E-2</c:v>
                </c:pt>
                <c:pt idx="4">
                  <c:v>7.3499999998603016E-2</c:v>
                </c:pt>
                <c:pt idx="5">
                  <c:v>8.8600000002770685E-2</c:v>
                </c:pt>
                <c:pt idx="6">
                  <c:v>8.7399999996705446E-2</c:v>
                </c:pt>
                <c:pt idx="7">
                  <c:v>0.10269999999582069</c:v>
                </c:pt>
                <c:pt idx="9">
                  <c:v>9.6400000002176967E-2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9E-46A0-B3DB-3186566464C7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B!$D$21:$D$50</c:f>
                <c:numCache>
                  <c:formatCode>General</c:formatCode>
                  <c:ptCount val="30"/>
                  <c:pt idx="1">
                    <c:v>5.9999999999999995E-4</c:v>
                  </c:pt>
                  <c:pt idx="2">
                    <c:v>2.8E-3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1E-3</c:v>
                  </c:pt>
                  <c:pt idx="7">
                    <c:v>1.2999999999999999E-3</c:v>
                  </c:pt>
                  <c:pt idx="8">
                    <c:v>4.0000000000000002E-4</c:v>
                  </c:pt>
                  <c:pt idx="9">
                    <c:v>5.1999999999999998E-3</c:v>
                  </c:pt>
                </c:numCache>
              </c:numRef>
            </c:plus>
            <c:minus>
              <c:numRef>
                <c:f>B!$D$21:$D$50</c:f>
                <c:numCache>
                  <c:formatCode>General</c:formatCode>
                  <c:ptCount val="30"/>
                  <c:pt idx="1">
                    <c:v>5.9999999999999995E-4</c:v>
                  </c:pt>
                  <c:pt idx="2">
                    <c:v>2.8E-3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1E-3</c:v>
                  </c:pt>
                  <c:pt idx="7">
                    <c:v>1.2999999999999999E-3</c:v>
                  </c:pt>
                  <c:pt idx="8">
                    <c:v>4.0000000000000002E-4</c:v>
                  </c:pt>
                  <c:pt idx="9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-25864</c:v>
                </c:pt>
                <c:pt idx="1">
                  <c:v>0</c:v>
                </c:pt>
                <c:pt idx="2">
                  <c:v>973</c:v>
                </c:pt>
                <c:pt idx="3">
                  <c:v>1313</c:v>
                </c:pt>
                <c:pt idx="4">
                  <c:v>1848</c:v>
                </c:pt>
                <c:pt idx="5">
                  <c:v>2232</c:v>
                </c:pt>
                <c:pt idx="6">
                  <c:v>2281</c:v>
                </c:pt>
                <c:pt idx="7">
                  <c:v>2669</c:v>
                </c:pt>
                <c:pt idx="8">
                  <c:v>3227</c:v>
                </c:pt>
                <c:pt idx="9">
                  <c:v>2309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  <c:pt idx="8">
                  <c:v>0.12409999999363208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9E-46A0-B3DB-3186566464C7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-25864</c:v>
                </c:pt>
                <c:pt idx="1">
                  <c:v>0</c:v>
                </c:pt>
                <c:pt idx="2">
                  <c:v>973</c:v>
                </c:pt>
                <c:pt idx="3">
                  <c:v>1313</c:v>
                </c:pt>
                <c:pt idx="4">
                  <c:v>1848</c:v>
                </c:pt>
                <c:pt idx="5">
                  <c:v>2232</c:v>
                </c:pt>
                <c:pt idx="6">
                  <c:v>2281</c:v>
                </c:pt>
                <c:pt idx="7">
                  <c:v>2669</c:v>
                </c:pt>
                <c:pt idx="8">
                  <c:v>3227</c:v>
                </c:pt>
                <c:pt idx="9">
                  <c:v>2309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9E-46A0-B3DB-3186566464C7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-25864</c:v>
                </c:pt>
                <c:pt idx="1">
                  <c:v>0</c:v>
                </c:pt>
                <c:pt idx="2">
                  <c:v>973</c:v>
                </c:pt>
                <c:pt idx="3">
                  <c:v>1313</c:v>
                </c:pt>
                <c:pt idx="4">
                  <c:v>1848</c:v>
                </c:pt>
                <c:pt idx="5">
                  <c:v>2232</c:v>
                </c:pt>
                <c:pt idx="6">
                  <c:v>2281</c:v>
                </c:pt>
                <c:pt idx="7">
                  <c:v>2669</c:v>
                </c:pt>
                <c:pt idx="8">
                  <c:v>3227</c:v>
                </c:pt>
                <c:pt idx="9">
                  <c:v>2309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9E-46A0-B3DB-3186566464C7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-25864</c:v>
                </c:pt>
                <c:pt idx="1">
                  <c:v>0</c:v>
                </c:pt>
                <c:pt idx="2">
                  <c:v>973</c:v>
                </c:pt>
                <c:pt idx="3">
                  <c:v>1313</c:v>
                </c:pt>
                <c:pt idx="4">
                  <c:v>1848</c:v>
                </c:pt>
                <c:pt idx="5">
                  <c:v>2232</c:v>
                </c:pt>
                <c:pt idx="6">
                  <c:v>2281</c:v>
                </c:pt>
                <c:pt idx="7">
                  <c:v>2669</c:v>
                </c:pt>
                <c:pt idx="8">
                  <c:v>3227</c:v>
                </c:pt>
                <c:pt idx="9">
                  <c:v>2309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9E-46A0-B3DB-3186566464C7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-25864</c:v>
                </c:pt>
                <c:pt idx="1">
                  <c:v>0</c:v>
                </c:pt>
                <c:pt idx="2">
                  <c:v>973</c:v>
                </c:pt>
                <c:pt idx="3">
                  <c:v>1313</c:v>
                </c:pt>
                <c:pt idx="4">
                  <c:v>1848</c:v>
                </c:pt>
                <c:pt idx="5">
                  <c:v>2232</c:v>
                </c:pt>
                <c:pt idx="6">
                  <c:v>2281</c:v>
                </c:pt>
                <c:pt idx="7">
                  <c:v>2669</c:v>
                </c:pt>
                <c:pt idx="8">
                  <c:v>3227</c:v>
                </c:pt>
                <c:pt idx="9">
                  <c:v>2309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9E-46A0-B3DB-3186566464C7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-25864</c:v>
                </c:pt>
                <c:pt idx="1">
                  <c:v>0</c:v>
                </c:pt>
                <c:pt idx="2">
                  <c:v>973</c:v>
                </c:pt>
                <c:pt idx="3">
                  <c:v>1313</c:v>
                </c:pt>
                <c:pt idx="4">
                  <c:v>1848</c:v>
                </c:pt>
                <c:pt idx="5">
                  <c:v>2232</c:v>
                </c:pt>
                <c:pt idx="6">
                  <c:v>2281</c:v>
                </c:pt>
                <c:pt idx="7">
                  <c:v>2669</c:v>
                </c:pt>
                <c:pt idx="8">
                  <c:v>3227</c:v>
                </c:pt>
                <c:pt idx="9">
                  <c:v>2309</c:v>
                </c:pt>
              </c:numCache>
            </c:numRef>
          </c:xVal>
          <c:yVal>
            <c:numRef>
              <c:f>B!$O$21:$O$999</c:f>
              <c:numCache>
                <c:formatCode>General</c:formatCode>
                <c:ptCount val="979"/>
                <c:pt idx="0">
                  <c:v>-1.035507425582326</c:v>
                </c:pt>
                <c:pt idx="1">
                  <c:v>-2.444920987301355E-3</c:v>
                </c:pt>
                <c:pt idx="2">
                  <c:v>3.641874344863117E-2</c:v>
                </c:pt>
                <c:pt idx="3">
                  <c:v>4.9999057845565457E-2</c:v>
                </c:pt>
                <c:pt idx="4">
                  <c:v>7.1368081970153235E-2</c:v>
                </c:pt>
                <c:pt idx="5">
                  <c:v>8.6705848818455486E-2</c:v>
                </c:pt>
                <c:pt idx="6">
                  <c:v>8.8663011775660716E-2</c:v>
                </c:pt>
                <c:pt idx="7">
                  <c:v>0.10416054702863278</c:v>
                </c:pt>
                <c:pt idx="8">
                  <c:v>0.126448239480072</c:v>
                </c:pt>
                <c:pt idx="9">
                  <c:v>8.9781390608349429E-2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9E-46A0-B3DB-318656646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335616"/>
        <c:axId val="1"/>
      </c:scatterChart>
      <c:valAx>
        <c:axId val="569335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335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801309367831443"/>
          <c:y val="0.91975600272188196"/>
          <c:w val="0.90953218085219156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18</xdr:col>
      <xdr:colOff>409574</xdr:colOff>
      <xdr:row>18</xdr:row>
      <xdr:rowOff>47625</xdr:rowOff>
    </xdr:to>
    <xdr:graphicFrame macro="">
      <xdr:nvGraphicFramePr>
        <xdr:cNvPr id="52227" name="Chart 2">
          <a:extLst>
            <a:ext uri="{FF2B5EF4-FFF2-40B4-BE49-F238E27FC236}">
              <a16:creationId xmlns:a16="http://schemas.microsoft.com/office/drawing/2014/main" id="{091DCD0F-BB4C-D12E-73D1-34DA0333F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6E2AC09-24DA-75C1-5C94-66EE1B0AF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9D45B314-9751-DA57-5CD1-BEF09EFC2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2" TargetMode="External"/><Relationship Id="rId13" Type="http://schemas.openxmlformats.org/officeDocument/2006/relationships/hyperlink" Target="http://www.bav-astro.de/sfs/BAVM_link.php?BAVMnr=203" TargetMode="External"/><Relationship Id="rId3" Type="http://schemas.openxmlformats.org/officeDocument/2006/relationships/hyperlink" Target="http://www.konkoly.hu/cgi-bin/IBVS?4887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www.bav-astro.de/sfs/BAVM_link.php?BAVMnr=183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17" TargetMode="External"/><Relationship Id="rId16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bav-astro.de/sfs/BAVM_link.php?BAVMnr=132" TargetMode="External"/><Relationship Id="rId15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www.konkoly.hu/cgi-bin/IBVS?5371" TargetMode="External"/><Relationship Id="rId4" Type="http://schemas.openxmlformats.org/officeDocument/2006/relationships/hyperlink" Target="http://www.bav-astro.de/sfs/BAVM_link.php?BAVMnr=117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www.bav-astro.de/sfs/BAVM_link.php?BAVMnr=21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466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80" t="s">
        <v>188</v>
      </c>
      <c r="C1" s="12"/>
      <c r="D1" s="12"/>
    </row>
    <row r="2" spans="1:6" x14ac:dyDescent="0.2">
      <c r="A2" t="s">
        <v>26</v>
      </c>
      <c r="B2" s="12" t="s">
        <v>32</v>
      </c>
      <c r="C2" s="12"/>
      <c r="D2" s="12"/>
    </row>
    <row r="3" spans="1:6" ht="13.5" thickBot="1" x14ac:dyDescent="0.25">
      <c r="B3" s="12"/>
      <c r="C3" s="31" t="s">
        <v>42</v>
      </c>
      <c r="D3" s="13"/>
    </row>
    <row r="4" spans="1:6" ht="13.5" thickBot="1" x14ac:dyDescent="0.25">
      <c r="A4" s="8" t="s">
        <v>0</v>
      </c>
      <c r="B4" s="14"/>
      <c r="C4" s="15">
        <v>29456.511999999999</v>
      </c>
      <c r="D4" s="16">
        <v>0.76074699999999995</v>
      </c>
    </row>
    <row r="5" spans="1:6" x14ac:dyDescent="0.2">
      <c r="A5" s="39" t="s">
        <v>45</v>
      </c>
      <c r="B5" s="25"/>
      <c r="C5" s="40">
        <v>-9.5</v>
      </c>
      <c r="D5" s="25" t="s">
        <v>46</v>
      </c>
    </row>
    <row r="6" spans="1:6" x14ac:dyDescent="0.2">
      <c r="A6" s="8" t="s">
        <v>1</v>
      </c>
      <c r="B6" s="12"/>
      <c r="C6" s="12"/>
      <c r="D6" s="12"/>
    </row>
    <row r="7" spans="1:6" x14ac:dyDescent="0.2">
      <c r="A7" t="s">
        <v>2</v>
      </c>
      <c r="B7" s="12"/>
      <c r="C7" s="12">
        <v>50000.4614</v>
      </c>
      <c r="D7" s="12"/>
    </row>
    <row r="8" spans="1:6" x14ac:dyDescent="0.2">
      <c r="A8" t="s">
        <v>3</v>
      </c>
      <c r="B8" s="12"/>
      <c r="C8" s="12">
        <v>0.79433994210116743</v>
      </c>
      <c r="D8" s="12"/>
    </row>
    <row r="9" spans="1:6" x14ac:dyDescent="0.2">
      <c r="A9" s="50" t="s">
        <v>51</v>
      </c>
      <c r="B9" s="51">
        <v>21</v>
      </c>
      <c r="C9" s="42" t="str">
        <f>"F"&amp;B9</f>
        <v>F21</v>
      </c>
      <c r="D9" s="30" t="str">
        <f>"G"&amp;B9</f>
        <v>G21</v>
      </c>
    </row>
    <row r="10" spans="1:6" ht="13.5" thickBot="1" x14ac:dyDescent="0.25">
      <c r="A10" s="25"/>
      <c r="B10" s="25"/>
      <c r="C10" s="7" t="s">
        <v>21</v>
      </c>
      <c r="D10" s="7" t="s">
        <v>22</v>
      </c>
      <c r="E10" s="25"/>
    </row>
    <row r="11" spans="1:6" x14ac:dyDescent="0.2">
      <c r="A11" s="25" t="s">
        <v>16</v>
      </c>
      <c r="B11" s="25"/>
      <c r="C11" s="41">
        <f ca="1">INTERCEPT(INDIRECT($D$9):G992,INDIRECT($C$9):F992)</f>
        <v>-2.9594943998300545E-3</v>
      </c>
      <c r="D11" s="6"/>
      <c r="E11" s="25"/>
    </row>
    <row r="12" spans="1:6" x14ac:dyDescent="0.2">
      <c r="A12" s="25" t="s">
        <v>17</v>
      </c>
      <c r="B12" s="25"/>
      <c r="C12" s="41">
        <f ca="1">SLOPE(INDIRECT($D$9):G992,INDIRECT($C$9):F992)</f>
        <v>-3.1726604509609296E-7</v>
      </c>
      <c r="D12" s="6"/>
      <c r="E12" s="25"/>
    </row>
    <row r="13" spans="1:6" x14ac:dyDescent="0.2">
      <c r="A13" s="25" t="s">
        <v>20</v>
      </c>
      <c r="B13" s="25"/>
      <c r="C13" s="6" t="s">
        <v>14</v>
      </c>
    </row>
    <row r="14" spans="1:6" x14ac:dyDescent="0.2">
      <c r="A14" s="25"/>
      <c r="B14" s="25"/>
      <c r="C14" s="25"/>
    </row>
    <row r="15" spans="1:6" x14ac:dyDescent="0.2">
      <c r="A15" s="43" t="s">
        <v>18</v>
      </c>
      <c r="B15" s="25"/>
      <c r="C15" s="23">
        <f ca="1">(C7+C11)+(C8+C12)*INT(MAX(F21:F3533))</f>
        <v>55874.599966161331</v>
      </c>
      <c r="E15" s="44" t="s">
        <v>54</v>
      </c>
      <c r="F15" s="40">
        <v>1</v>
      </c>
    </row>
    <row r="16" spans="1:6" x14ac:dyDescent="0.2">
      <c r="A16" s="24" t="s">
        <v>4</v>
      </c>
      <c r="B16" s="25"/>
      <c r="C16" s="46">
        <f ca="1">+C8+C12</f>
        <v>0.79433962483512233</v>
      </c>
      <c r="E16" s="44" t="s">
        <v>47</v>
      </c>
      <c r="F16" s="45">
        <f ca="1">NOW()+15018.5+$C$5/24</f>
        <v>60328.788942129628</v>
      </c>
    </row>
    <row r="17" spans="1:19" ht="13.5" thickBot="1" x14ac:dyDescent="0.25">
      <c r="A17" s="44" t="s">
        <v>44</v>
      </c>
      <c r="B17" s="25"/>
      <c r="C17" s="25">
        <f>COUNT(C21:C2191)</f>
        <v>28</v>
      </c>
      <c r="E17" s="44" t="s">
        <v>55</v>
      </c>
      <c r="F17" s="45">
        <f ca="1">ROUND(2*(F16-$C$7)/$C$8,0)/2+F15</f>
        <v>13003.5</v>
      </c>
    </row>
    <row r="18" spans="1:19" ht="14.25" thickTop="1" thickBot="1" x14ac:dyDescent="0.25">
      <c r="A18" s="24" t="s">
        <v>5</v>
      </c>
      <c r="B18" s="25"/>
      <c r="C18" s="48">
        <f ca="1">+C15</f>
        <v>55874.599966161331</v>
      </c>
      <c r="D18" s="49">
        <f ca="1">+C16</f>
        <v>0.79433962483512233</v>
      </c>
      <c r="E18" s="44" t="s">
        <v>48</v>
      </c>
      <c r="F18" s="30">
        <f ca="1">ROUND(2*(F16-$C$15)/$C$16,0)/2+F15</f>
        <v>5608.5</v>
      </c>
    </row>
    <row r="19" spans="1:19" ht="13.5" thickTop="1" x14ac:dyDescent="0.2">
      <c r="E19" s="44" t="s">
        <v>49</v>
      </c>
      <c r="F19" s="47">
        <f ca="1">+$C$15+$C$16*F18-15018.5-$C$5/24</f>
        <v>45311.549585382447</v>
      </c>
    </row>
    <row r="20" spans="1:19" ht="1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64</v>
      </c>
      <c r="I20" s="10" t="s">
        <v>67</v>
      </c>
      <c r="J20" s="10" t="s">
        <v>61</v>
      </c>
      <c r="K20" s="10" t="s">
        <v>53</v>
      </c>
      <c r="L20" s="10" t="s">
        <v>183</v>
      </c>
      <c r="M20" s="10" t="s">
        <v>184</v>
      </c>
      <c r="N20" s="10" t="s">
        <v>185</v>
      </c>
      <c r="O20" s="10" t="s">
        <v>24</v>
      </c>
      <c r="P20" s="9" t="s">
        <v>23</v>
      </c>
      <c r="Q20" s="7" t="s">
        <v>15</v>
      </c>
      <c r="R20" s="7"/>
      <c r="S20" s="32" t="s">
        <v>43</v>
      </c>
    </row>
    <row r="21" spans="1:19" x14ac:dyDescent="0.2">
      <c r="A21" s="72" t="s">
        <v>73</v>
      </c>
      <c r="B21" s="76" t="s">
        <v>37</v>
      </c>
      <c r="C21" s="78">
        <v>27960.510999999999</v>
      </c>
      <c r="D21" s="78" t="s">
        <v>67</v>
      </c>
      <c r="E21">
        <f t="shared" ref="E21:E48" si="0">+(C21-C$7)/C$8</f>
        <v>-27746.244689270559</v>
      </c>
      <c r="F21">
        <f t="shared" ref="F21:F48" si="1">ROUND(2*E21,0)/2</f>
        <v>-27746</v>
      </c>
      <c r="G21">
        <f>+C21-(C$7+F21*C$8)</f>
        <v>-0.19436646101166843</v>
      </c>
      <c r="I21">
        <f>+G21</f>
        <v>-0.19436646101166843</v>
      </c>
      <c r="O21">
        <f t="shared" ref="O21:O48" ca="1" si="2">+C$11+C$12*F21</f>
        <v>5.8433692874061399E-3</v>
      </c>
      <c r="Q21" s="2">
        <f t="shared" ref="Q21:Q48" si="3">+C21-15018.5</f>
        <v>12942.010999999999</v>
      </c>
      <c r="R21" s="2"/>
      <c r="S21">
        <f ca="1">(O21-G21)^2</f>
        <v>4.0083976148384243E-2</v>
      </c>
    </row>
    <row r="22" spans="1:19" x14ac:dyDescent="0.2">
      <c r="A22" s="73" t="s">
        <v>73</v>
      </c>
      <c r="B22" s="77" t="s">
        <v>57</v>
      </c>
      <c r="C22" s="74">
        <v>28487.35</v>
      </c>
      <c r="D22" s="74" t="s">
        <v>67</v>
      </c>
      <c r="E22">
        <f t="shared" si="0"/>
        <v>-27083.003459569307</v>
      </c>
      <c r="F22">
        <f t="shared" si="1"/>
        <v>-27083</v>
      </c>
      <c r="G22">
        <f>+C22-(C$7+F22*C$8)</f>
        <v>-2.7480740827741101E-3</v>
      </c>
      <c r="I22">
        <f>+G22</f>
        <v>-2.7480740827741101E-3</v>
      </c>
      <c r="O22">
        <f t="shared" ca="1" si="2"/>
        <v>5.6330218995074306E-3</v>
      </c>
      <c r="Q22" s="2">
        <f t="shared" si="3"/>
        <v>13468.849999999999</v>
      </c>
      <c r="R22" s="2"/>
      <c r="S22">
        <f ca="1">(O22-G22)^2</f>
        <v>7.0242769864215789E-5</v>
      </c>
    </row>
    <row r="23" spans="1:19" x14ac:dyDescent="0.2">
      <c r="A23" s="74" t="s">
        <v>73</v>
      </c>
      <c r="B23" s="77" t="s">
        <v>37</v>
      </c>
      <c r="C23" s="74">
        <v>28511.252</v>
      </c>
      <c r="D23" s="74" t="s">
        <v>67</v>
      </c>
      <c r="E23">
        <f t="shared" si="0"/>
        <v>-27052.913067870286</v>
      </c>
      <c r="F23">
        <f t="shared" si="1"/>
        <v>-27053</v>
      </c>
      <c r="G23">
        <f>+C23-(C$7+F23*C$8)</f>
        <v>6.9053662882652134E-2</v>
      </c>
      <c r="I23">
        <f>+G23</f>
        <v>6.9053662882652134E-2</v>
      </c>
      <c r="O23">
        <f t="shared" ca="1" si="2"/>
        <v>5.6235039181545491E-3</v>
      </c>
      <c r="Q23" s="2">
        <f t="shared" si="3"/>
        <v>13492.752</v>
      </c>
      <c r="R23" s="2"/>
      <c r="S23">
        <f ca="1">(O23-G23)^2</f>
        <v>4.023385066261433E-3</v>
      </c>
    </row>
    <row r="24" spans="1:19" x14ac:dyDescent="0.2">
      <c r="A24" s="74" t="s">
        <v>73</v>
      </c>
      <c r="B24" s="77" t="s">
        <v>37</v>
      </c>
      <c r="C24" s="74">
        <v>28835.335999999999</v>
      </c>
      <c r="D24" s="74" t="s">
        <v>67</v>
      </c>
      <c r="E24">
        <f t="shared" si="0"/>
        <v>-26644.921497985561</v>
      </c>
      <c r="F24">
        <f t="shared" si="1"/>
        <v>-26645</v>
      </c>
      <c r="G24">
        <f>+C24-(C$7+F24*C$8)</f>
        <v>6.235728560568532E-2</v>
      </c>
      <c r="I24">
        <f>+G24</f>
        <v>6.235728560568532E-2</v>
      </c>
      <c r="O24">
        <f t="shared" ca="1" si="2"/>
        <v>5.4940593717553426E-3</v>
      </c>
      <c r="Q24" s="2">
        <f t="shared" si="3"/>
        <v>13816.835999999999</v>
      </c>
      <c r="R24" s="2"/>
      <c r="S24">
        <f ca="1">(O24-G24)^2</f>
        <v>3.2334264977311022E-3</v>
      </c>
    </row>
    <row r="25" spans="1:19" x14ac:dyDescent="0.2">
      <c r="A25" s="12" t="s">
        <v>12</v>
      </c>
      <c r="B25" s="12"/>
      <c r="C25" s="33">
        <v>29456.511999999999</v>
      </c>
      <c r="D25" s="33"/>
      <c r="E25">
        <f t="shared" si="0"/>
        <v>-25862.91877210364</v>
      </c>
      <c r="F25">
        <f t="shared" si="1"/>
        <v>-25863</v>
      </c>
      <c r="H25" s="30">
        <v>-0.17420000000129221</v>
      </c>
      <c r="O25">
        <f t="shared" ca="1" si="2"/>
        <v>5.2459573244901976E-3</v>
      </c>
      <c r="Q25" s="2">
        <f t="shared" si="3"/>
        <v>14438.011999999999</v>
      </c>
      <c r="R25" s="2"/>
    </row>
    <row r="26" spans="1:19" x14ac:dyDescent="0.2">
      <c r="A26" s="74" t="s">
        <v>73</v>
      </c>
      <c r="B26" s="77" t="s">
        <v>57</v>
      </c>
      <c r="C26" s="74">
        <v>29494.566999999999</v>
      </c>
      <c r="D26" s="74" t="s">
        <v>67</v>
      </c>
      <c r="E26">
        <f t="shared" si="0"/>
        <v>-25815.011071655721</v>
      </c>
      <c r="F26">
        <f t="shared" si="1"/>
        <v>-25815</v>
      </c>
      <c r="G26">
        <f t="shared" ref="G26:G48" si="4">+C26-(C$7+F26*C$8)</f>
        <v>-8.7946583626035135E-3</v>
      </c>
      <c r="I26">
        <f>+G26</f>
        <v>-8.7946583626035135E-3</v>
      </c>
      <c r="O26">
        <f t="shared" ca="1" si="2"/>
        <v>5.2307285543255859E-3</v>
      </c>
      <c r="Q26" s="2">
        <f t="shared" si="3"/>
        <v>14476.066999999999</v>
      </c>
      <c r="R26" s="2"/>
      <c r="S26">
        <f t="shared" ref="S26:S31" ca="1" si="5">(O26-G26)^2</f>
        <v>1.9671147816956595E-4</v>
      </c>
    </row>
    <row r="27" spans="1:19" x14ac:dyDescent="0.2">
      <c r="A27" s="70" t="s">
        <v>73</v>
      </c>
      <c r="B27" s="71" t="s">
        <v>37</v>
      </c>
      <c r="C27" s="70">
        <v>29877.550999999999</v>
      </c>
      <c r="D27" s="70" t="s">
        <v>67</v>
      </c>
      <c r="E27">
        <f t="shared" si="0"/>
        <v>-25332.869887886285</v>
      </c>
      <c r="F27">
        <f t="shared" si="1"/>
        <v>-25333</v>
      </c>
      <c r="G27">
        <f t="shared" si="4"/>
        <v>0.103353248872736</v>
      </c>
      <c r="I27">
        <f>+G27</f>
        <v>0.103353248872736</v>
      </c>
      <c r="O27">
        <f t="shared" ca="1" si="2"/>
        <v>5.0778063205892676E-3</v>
      </c>
      <c r="Q27" s="2">
        <f t="shared" si="3"/>
        <v>14859.050999999999</v>
      </c>
      <c r="R27" s="2"/>
      <c r="S27">
        <f t="shared" ca="1" si="5"/>
        <v>9.658062608820293E-3</v>
      </c>
    </row>
    <row r="28" spans="1:19" x14ac:dyDescent="0.2">
      <c r="A28" s="70" t="s">
        <v>73</v>
      </c>
      <c r="B28" s="71" t="s">
        <v>57</v>
      </c>
      <c r="C28" s="70">
        <v>30178.491999999998</v>
      </c>
      <c r="D28" s="70" t="s">
        <v>67</v>
      </c>
      <c r="E28">
        <f t="shared" si="0"/>
        <v>-24954.01319939602</v>
      </c>
      <c r="F28">
        <f t="shared" si="1"/>
        <v>-24954</v>
      </c>
      <c r="G28">
        <f t="shared" si="4"/>
        <v>-1.0484807469765656E-2</v>
      </c>
      <c r="I28">
        <f>+G28</f>
        <v>-1.0484807469765656E-2</v>
      </c>
      <c r="O28">
        <f t="shared" ca="1" si="2"/>
        <v>4.9575624894978489E-3</v>
      </c>
      <c r="Q28" s="2">
        <f t="shared" si="3"/>
        <v>15159.991999999998</v>
      </c>
      <c r="R28" s="2"/>
      <c r="S28">
        <f t="shared" ca="1" si="5"/>
        <v>2.3846678995876393E-4</v>
      </c>
    </row>
    <row r="29" spans="1:19" x14ac:dyDescent="0.2">
      <c r="A29" s="70" t="s">
        <v>73</v>
      </c>
      <c r="B29" s="71" t="s">
        <v>37</v>
      </c>
      <c r="C29" s="70">
        <v>30259.51</v>
      </c>
      <c r="D29" s="70" t="s">
        <v>67</v>
      </c>
      <c r="E29">
        <f t="shared" si="0"/>
        <v>-24852.019083645409</v>
      </c>
      <c r="F29">
        <f t="shared" si="1"/>
        <v>-24852</v>
      </c>
      <c r="G29">
        <f t="shared" si="4"/>
        <v>-1.515890178779955E-2</v>
      </c>
      <c r="I29">
        <f>+G29</f>
        <v>-1.515890178779955E-2</v>
      </c>
      <c r="O29">
        <f t="shared" ca="1" si="2"/>
        <v>4.9252013528980482E-3</v>
      </c>
      <c r="Q29" s="2">
        <f t="shared" si="3"/>
        <v>15241.009999999998</v>
      </c>
      <c r="R29" s="2"/>
      <c r="S29">
        <f t="shared" ca="1" si="5"/>
        <v>4.0337119896617911E-4</v>
      </c>
    </row>
    <row r="30" spans="1:19" x14ac:dyDescent="0.2">
      <c r="A30" s="70" t="s">
        <v>73</v>
      </c>
      <c r="B30" s="71" t="s">
        <v>57</v>
      </c>
      <c r="C30" s="70">
        <v>33917.519999999997</v>
      </c>
      <c r="D30" s="70" t="s">
        <v>67</v>
      </c>
      <c r="E30">
        <f t="shared" si="0"/>
        <v>-20246.92521121099</v>
      </c>
      <c r="F30">
        <f t="shared" si="1"/>
        <v>-20247</v>
      </c>
      <c r="G30">
        <f t="shared" si="4"/>
        <v>5.9407722335890867E-2</v>
      </c>
      <c r="I30">
        <f>+G30</f>
        <v>5.9407722335890867E-2</v>
      </c>
      <c r="O30">
        <f t="shared" ca="1" si="2"/>
        <v>3.4641912152305393E-3</v>
      </c>
      <c r="Q30" s="2">
        <f t="shared" si="3"/>
        <v>18899.019999999997</v>
      </c>
      <c r="R30" s="2"/>
      <c r="S30">
        <f t="shared" ca="1" si="5"/>
        <v>3.1296786742482903E-3</v>
      </c>
    </row>
    <row r="31" spans="1:19" x14ac:dyDescent="0.2">
      <c r="A31" s="70" t="s">
        <v>106</v>
      </c>
      <c r="B31" s="71" t="s">
        <v>57</v>
      </c>
      <c r="C31" s="70">
        <v>49371.349499999997</v>
      </c>
      <c r="D31" s="70" t="s">
        <v>67</v>
      </c>
      <c r="E31">
        <f t="shared" si="0"/>
        <v>-791.99328480938902</v>
      </c>
      <c r="F31">
        <f t="shared" si="1"/>
        <v>-792</v>
      </c>
      <c r="G31">
        <f t="shared" si="4"/>
        <v>5.3341441234806553E-3</v>
      </c>
      <c r="K31">
        <f>+G31</f>
        <v>5.3341441234806553E-3</v>
      </c>
      <c r="O31">
        <f t="shared" ca="1" si="2"/>
        <v>-2.708219692113949E-3</v>
      </c>
      <c r="Q31" s="2">
        <f t="shared" si="3"/>
        <v>34352.849499999997</v>
      </c>
      <c r="R31" s="2"/>
      <c r="S31">
        <f t="shared" ca="1" si="5"/>
        <v>6.4679615742385406E-5</v>
      </c>
    </row>
    <row r="32" spans="1:19" x14ac:dyDescent="0.2">
      <c r="A32" s="25" t="s">
        <v>33</v>
      </c>
      <c r="B32" s="25"/>
      <c r="C32" s="36">
        <v>50000.4614</v>
      </c>
      <c r="D32" s="36">
        <v>5.9999999999999995E-4</v>
      </c>
      <c r="E32">
        <f t="shared" si="0"/>
        <v>0</v>
      </c>
      <c r="F32">
        <f t="shared" si="1"/>
        <v>0</v>
      </c>
      <c r="G32">
        <f t="shared" si="4"/>
        <v>0</v>
      </c>
      <c r="I32">
        <f t="shared" ref="I32:I40" si="6">+G32</f>
        <v>0</v>
      </c>
      <c r="O32">
        <f t="shared" ca="1" si="2"/>
        <v>-2.9594943998300545E-3</v>
      </c>
      <c r="Q32" s="2">
        <f t="shared" si="3"/>
        <v>34981.9614</v>
      </c>
      <c r="R32" s="2" t="s">
        <v>61</v>
      </c>
      <c r="S32">
        <f ca="1">+(O32-G32)^2</f>
        <v>8.7586071026254551E-6</v>
      </c>
    </row>
    <row r="33" spans="1:19" x14ac:dyDescent="0.2">
      <c r="A33" s="25" t="s">
        <v>34</v>
      </c>
      <c r="B33" s="25"/>
      <c r="C33" s="36">
        <v>50773.347500000003</v>
      </c>
      <c r="D33" s="36">
        <v>2.8E-3</v>
      </c>
      <c r="E33">
        <f t="shared" si="0"/>
        <v>972.99161106715223</v>
      </c>
      <c r="F33">
        <f t="shared" si="1"/>
        <v>973</v>
      </c>
      <c r="G33">
        <f t="shared" si="4"/>
        <v>-6.6636644332902506E-3</v>
      </c>
      <c r="I33">
        <f t="shared" si="6"/>
        <v>-6.6636644332902506E-3</v>
      </c>
      <c r="O33">
        <f t="shared" ca="1" si="2"/>
        <v>-3.2681942617085527E-3</v>
      </c>
      <c r="Q33" s="2">
        <f t="shared" si="3"/>
        <v>35754.847500000003</v>
      </c>
      <c r="R33" s="2" t="s">
        <v>53</v>
      </c>
      <c r="S33">
        <f ca="1">+(O33-G33)^2</f>
        <v>1.1529217686101046E-5</v>
      </c>
    </row>
    <row r="34" spans="1:19" x14ac:dyDescent="0.2">
      <c r="A34" s="75" t="s">
        <v>34</v>
      </c>
      <c r="B34" s="6"/>
      <c r="C34" s="37">
        <v>50773.347500000003</v>
      </c>
      <c r="D34" s="37">
        <v>2.8E-3</v>
      </c>
      <c r="E34">
        <f t="shared" si="0"/>
        <v>972.99161106715223</v>
      </c>
      <c r="F34">
        <f t="shared" si="1"/>
        <v>973</v>
      </c>
      <c r="G34">
        <f t="shared" si="4"/>
        <v>-6.6636644332902506E-3</v>
      </c>
      <c r="I34">
        <f t="shared" si="6"/>
        <v>-6.6636644332902506E-3</v>
      </c>
      <c r="O34">
        <f t="shared" ca="1" si="2"/>
        <v>-3.2681942617085527E-3</v>
      </c>
      <c r="Q34" s="2">
        <f t="shared" si="3"/>
        <v>35754.847500000003</v>
      </c>
      <c r="R34" s="2" t="s">
        <v>53</v>
      </c>
      <c r="S34">
        <f ca="1">(O34-G34)^2</f>
        <v>1.1529217686101046E-5</v>
      </c>
    </row>
    <row r="35" spans="1:19" x14ac:dyDescent="0.2">
      <c r="A35" s="25" t="s">
        <v>33</v>
      </c>
      <c r="B35" s="25"/>
      <c r="C35" s="36">
        <v>51043.423499999997</v>
      </c>
      <c r="D35" s="36">
        <v>5.9999999999999995E-4</v>
      </c>
      <c r="E35">
        <f t="shared" si="0"/>
        <v>1312.9921394122277</v>
      </c>
      <c r="F35">
        <f t="shared" si="1"/>
        <v>1313</v>
      </c>
      <c r="G35">
        <f t="shared" si="4"/>
        <v>-6.2439788380288519E-3</v>
      </c>
      <c r="I35">
        <f t="shared" si="6"/>
        <v>-6.2439788380288519E-3</v>
      </c>
      <c r="O35">
        <f t="shared" ca="1" si="2"/>
        <v>-3.3760647170412244E-3</v>
      </c>
      <c r="Q35" s="2">
        <f t="shared" si="3"/>
        <v>36024.923499999997</v>
      </c>
      <c r="R35" s="2" t="s">
        <v>61</v>
      </c>
      <c r="S35">
        <f ca="1">+(O35-G35)^2</f>
        <v>8.2249314053602356E-6</v>
      </c>
    </row>
    <row r="36" spans="1:19" x14ac:dyDescent="0.2">
      <c r="A36" s="25" t="s">
        <v>35</v>
      </c>
      <c r="B36" s="25"/>
      <c r="C36" s="79">
        <v>51468.401299999998</v>
      </c>
      <c r="D36" s="36">
        <v>4.0000000000000002E-4</v>
      </c>
      <c r="E36">
        <f t="shared" si="0"/>
        <v>1847.9996059584275</v>
      </c>
      <c r="F36">
        <f t="shared" si="1"/>
        <v>1848</v>
      </c>
      <c r="G36">
        <f t="shared" si="4"/>
        <v>-3.1300295813707635E-4</v>
      </c>
      <c r="I36">
        <f t="shared" si="6"/>
        <v>-3.1300295813707635E-4</v>
      </c>
      <c r="O36">
        <f t="shared" ca="1" si="2"/>
        <v>-3.5458020511676342E-3</v>
      </c>
      <c r="Q36" s="2">
        <f t="shared" si="3"/>
        <v>36449.901299999998</v>
      </c>
      <c r="R36" s="2" t="s">
        <v>61</v>
      </c>
      <c r="S36">
        <f ca="1">+(O36-G36)^2</f>
        <v>1.0450989975899197E-5</v>
      </c>
    </row>
    <row r="37" spans="1:19" x14ac:dyDescent="0.2">
      <c r="A37" s="21" t="s">
        <v>36</v>
      </c>
      <c r="B37" s="6" t="s">
        <v>37</v>
      </c>
      <c r="C37" s="34">
        <v>51773.427600000003</v>
      </c>
      <c r="D37" s="34">
        <v>1.4E-3</v>
      </c>
      <c r="E37">
        <f t="shared" si="0"/>
        <v>2231.9993066321181</v>
      </c>
      <c r="F37">
        <f t="shared" si="1"/>
        <v>2232</v>
      </c>
      <c r="G37">
        <f t="shared" si="4"/>
        <v>-5.5076980061130598E-4</v>
      </c>
      <c r="I37">
        <f t="shared" si="6"/>
        <v>-5.5076980061130598E-4</v>
      </c>
      <c r="O37">
        <f t="shared" ca="1" si="2"/>
        <v>-3.667632212484534E-3</v>
      </c>
      <c r="Q37" s="2">
        <f t="shared" si="3"/>
        <v>36754.927600000003</v>
      </c>
      <c r="R37" s="2" t="s">
        <v>61</v>
      </c>
      <c r="S37">
        <f ca="1">+(O37-G37)^2</f>
        <v>9.7148312945481963E-6</v>
      </c>
    </row>
    <row r="38" spans="1:19" x14ac:dyDescent="0.2">
      <c r="A38" s="21" t="s">
        <v>36</v>
      </c>
      <c r="B38" s="6" t="s">
        <v>37</v>
      </c>
      <c r="C38" s="34">
        <v>51812.347099999999</v>
      </c>
      <c r="D38" s="34">
        <v>1E-3</v>
      </c>
      <c r="E38">
        <f t="shared" si="0"/>
        <v>2280.9953320580175</v>
      </c>
      <c r="F38">
        <f t="shared" si="1"/>
        <v>2281</v>
      </c>
      <c r="G38">
        <f t="shared" si="4"/>
        <v>-3.7079327667015605E-3</v>
      </c>
      <c r="I38">
        <f t="shared" si="6"/>
        <v>-3.7079327667015605E-3</v>
      </c>
      <c r="O38">
        <f t="shared" ca="1" si="2"/>
        <v>-3.6831782486942428E-3</v>
      </c>
      <c r="Q38" s="2">
        <f t="shared" si="3"/>
        <v>36793.847099999999</v>
      </c>
      <c r="R38" s="2" t="s">
        <v>61</v>
      </c>
      <c r="S38">
        <f ca="1">+(O38-G38)^2</f>
        <v>6.1278616177461588E-10</v>
      </c>
    </row>
    <row r="39" spans="1:19" x14ac:dyDescent="0.2">
      <c r="A39" s="27" t="s">
        <v>39</v>
      </c>
      <c r="B39" s="28"/>
      <c r="C39" s="34">
        <v>51834.5965</v>
      </c>
      <c r="D39" s="34">
        <v>5.1999999999999998E-3</v>
      </c>
      <c r="E39">
        <f t="shared" si="0"/>
        <v>2309.0052542849512</v>
      </c>
      <c r="F39">
        <f t="shared" si="1"/>
        <v>2309</v>
      </c>
      <c r="G39">
        <f t="shared" si="4"/>
        <v>4.1736884013516828E-3</v>
      </c>
      <c r="I39">
        <f t="shared" si="6"/>
        <v>4.1736884013516828E-3</v>
      </c>
      <c r="O39">
        <f t="shared" ca="1" si="2"/>
        <v>-3.6920616979569331E-3</v>
      </c>
      <c r="Q39" s="2">
        <f t="shared" si="3"/>
        <v>36816.0965</v>
      </c>
      <c r="R39" s="2" t="s">
        <v>61</v>
      </c>
      <c r="S39">
        <f ca="1">+(O39-G39)^2</f>
        <v>6.1870024624773509E-5</v>
      </c>
    </row>
    <row r="40" spans="1:19" x14ac:dyDescent="0.2">
      <c r="A40" s="21" t="s">
        <v>36</v>
      </c>
      <c r="B40" s="23" t="s">
        <v>37</v>
      </c>
      <c r="C40" s="34">
        <v>52120.550799999997</v>
      </c>
      <c r="D40" s="34">
        <v>1.2999999999999999E-3</v>
      </c>
      <c r="E40">
        <f t="shared" si="0"/>
        <v>2668.995083379531</v>
      </c>
      <c r="F40">
        <f t="shared" si="1"/>
        <v>2669</v>
      </c>
      <c r="G40">
        <f t="shared" si="4"/>
        <v>-3.9054680164554156E-3</v>
      </c>
      <c r="I40">
        <f t="shared" si="6"/>
        <v>-3.9054680164554156E-3</v>
      </c>
      <c r="O40">
        <f t="shared" ca="1" si="2"/>
        <v>-3.8062774741915266E-3</v>
      </c>
      <c r="Q40" s="2">
        <f t="shared" si="3"/>
        <v>37102.050799999997</v>
      </c>
      <c r="R40" s="2" t="s">
        <v>61</v>
      </c>
      <c r="S40">
        <f t="shared" ref="S40:S48" ca="1" si="7">(O40-G40)^2</f>
        <v>9.8387636746043578E-9</v>
      </c>
    </row>
    <row r="41" spans="1:19" x14ac:dyDescent="0.2">
      <c r="A41" s="24" t="s">
        <v>38</v>
      </c>
      <c r="B41" s="25"/>
      <c r="C41" s="35">
        <v>52563.791599999997</v>
      </c>
      <c r="D41" s="36">
        <v>4.0000000000000002E-4</v>
      </c>
      <c r="E41">
        <f t="shared" si="0"/>
        <v>3226.9939658574162</v>
      </c>
      <c r="F41">
        <f t="shared" si="1"/>
        <v>3227</v>
      </c>
      <c r="G41">
        <f t="shared" si="4"/>
        <v>-4.7931604713085108E-3</v>
      </c>
      <c r="J41">
        <f>+G41</f>
        <v>-4.7931604713085108E-3</v>
      </c>
      <c r="O41">
        <f t="shared" ca="1" si="2"/>
        <v>-3.9833119273551465E-3</v>
      </c>
      <c r="Q41" s="2">
        <f t="shared" si="3"/>
        <v>37545.291599999997</v>
      </c>
      <c r="R41" s="2" t="s">
        <v>53</v>
      </c>
      <c r="S41">
        <f t="shared" ca="1" si="7"/>
        <v>6.5585466414338417E-7</v>
      </c>
    </row>
    <row r="42" spans="1:19" x14ac:dyDescent="0.2">
      <c r="A42" s="52" t="s">
        <v>52</v>
      </c>
      <c r="B42" s="53" t="s">
        <v>37</v>
      </c>
      <c r="C42" s="52">
        <v>52858.49005</v>
      </c>
      <c r="D42" s="52" t="s">
        <v>53</v>
      </c>
      <c r="E42">
        <f t="shared" si="0"/>
        <v>3597.9918653467394</v>
      </c>
      <c r="F42">
        <f t="shared" si="1"/>
        <v>3598</v>
      </c>
      <c r="G42">
        <f t="shared" si="4"/>
        <v>-6.4616800009389408E-3</v>
      </c>
      <c r="N42">
        <f>+G42</f>
        <v>-6.4616800009389408E-3</v>
      </c>
      <c r="O42">
        <f t="shared" ca="1" si="2"/>
        <v>-4.1010176300857971E-3</v>
      </c>
      <c r="Q42" s="2">
        <f t="shared" si="3"/>
        <v>37839.99005</v>
      </c>
      <c r="R42" s="2" t="s">
        <v>187</v>
      </c>
      <c r="S42">
        <f t="shared" ca="1" si="7"/>
        <v>5.5727268291619856E-6</v>
      </c>
    </row>
    <row r="43" spans="1:19" x14ac:dyDescent="0.2">
      <c r="A43" s="38" t="s">
        <v>50</v>
      </c>
      <c r="B43" s="6" t="s">
        <v>37</v>
      </c>
      <c r="C43" s="37">
        <v>54017.438099999999</v>
      </c>
      <c r="D43" s="37">
        <v>1.1999999999999999E-3</v>
      </c>
      <c r="E43">
        <f t="shared" si="0"/>
        <v>5056.9995125442092</v>
      </c>
      <c r="F43">
        <f t="shared" si="1"/>
        <v>5057</v>
      </c>
      <c r="G43">
        <f t="shared" si="4"/>
        <v>-3.8720560405636206E-4</v>
      </c>
      <c r="I43">
        <f>+G43</f>
        <v>-3.8720560405636206E-4</v>
      </c>
      <c r="O43">
        <f t="shared" ca="1" si="2"/>
        <v>-4.5639087898809967E-3</v>
      </c>
      <c r="Q43" s="2">
        <f t="shared" si="3"/>
        <v>38998.938099999999</v>
      </c>
      <c r="R43" s="2" t="s">
        <v>61</v>
      </c>
      <c r="S43">
        <f t="shared" ca="1" si="7"/>
        <v>1.7444849502477654E-5</v>
      </c>
    </row>
    <row r="44" spans="1:19" x14ac:dyDescent="0.2">
      <c r="A44" s="70" t="s">
        <v>162</v>
      </c>
      <c r="B44" s="71" t="s">
        <v>57</v>
      </c>
      <c r="C44" s="70">
        <v>54396.311600000001</v>
      </c>
      <c r="D44" s="70" t="s">
        <v>67</v>
      </c>
      <c r="E44">
        <f t="shared" si="0"/>
        <v>5533.9659596774291</v>
      </c>
      <c r="F44">
        <f t="shared" si="1"/>
        <v>5534</v>
      </c>
      <c r="G44">
        <f t="shared" si="4"/>
        <v>-2.7039587861509062E-2</v>
      </c>
      <c r="K44">
        <f>+G44</f>
        <v>-2.7039587861509062E-2</v>
      </c>
      <c r="O44">
        <f t="shared" ca="1" si="2"/>
        <v>-4.715244693391833E-3</v>
      </c>
      <c r="Q44" s="2">
        <f t="shared" si="3"/>
        <v>39377.811600000001</v>
      </c>
      <c r="R44" s="2"/>
      <c r="S44">
        <f t="shared" ca="1" si="7"/>
        <v>4.9837629788786241E-4</v>
      </c>
    </row>
    <row r="45" spans="1:19" x14ac:dyDescent="0.2">
      <c r="A45" s="70" t="s">
        <v>167</v>
      </c>
      <c r="B45" s="71" t="s">
        <v>37</v>
      </c>
      <c r="C45" s="70">
        <v>55067.5507</v>
      </c>
      <c r="D45" s="70" t="s">
        <v>67</v>
      </c>
      <c r="E45">
        <f t="shared" si="0"/>
        <v>6378.9934654383187</v>
      </c>
      <c r="F45">
        <f t="shared" si="1"/>
        <v>6379</v>
      </c>
      <c r="G45">
        <f t="shared" si="4"/>
        <v>-5.1906633452745155E-3</v>
      </c>
      <c r="K45">
        <f>+G45</f>
        <v>-5.1906633452745155E-3</v>
      </c>
      <c r="O45">
        <f t="shared" ca="1" si="2"/>
        <v>-4.9833345014980313E-3</v>
      </c>
      <c r="Q45" s="2">
        <f t="shared" si="3"/>
        <v>40049.0507</v>
      </c>
      <c r="R45" s="2"/>
      <c r="S45">
        <f t="shared" ca="1" si="7"/>
        <v>4.2985249461693758E-8</v>
      </c>
    </row>
    <row r="46" spans="1:19" x14ac:dyDescent="0.2">
      <c r="A46" s="54" t="s">
        <v>56</v>
      </c>
      <c r="B46" s="55" t="s">
        <v>57</v>
      </c>
      <c r="C46" s="56">
        <v>55511.583100000003</v>
      </c>
      <c r="D46" s="56">
        <v>8.0000000000000004E-4</v>
      </c>
      <c r="E46">
        <f t="shared" si="0"/>
        <v>6937.9888985843099</v>
      </c>
      <c r="F46">
        <f t="shared" si="1"/>
        <v>6938</v>
      </c>
      <c r="G46">
        <f t="shared" si="4"/>
        <v>-8.8182978943223134E-3</v>
      </c>
      <c r="I46">
        <f>+G46</f>
        <v>-8.8182978943223134E-3</v>
      </c>
      <c r="O46">
        <f t="shared" ca="1" si="2"/>
        <v>-5.1606862207067474E-3</v>
      </c>
      <c r="Q46" s="2">
        <f t="shared" si="3"/>
        <v>40493.083100000003</v>
      </c>
      <c r="R46" s="2" t="s">
        <v>186</v>
      </c>
      <c r="S46">
        <f t="shared" ca="1" si="7"/>
        <v>1.3378123154968861E-5</v>
      </c>
    </row>
    <row r="47" spans="1:19" x14ac:dyDescent="0.2">
      <c r="A47" s="70" t="s">
        <v>178</v>
      </c>
      <c r="B47" s="71" t="s">
        <v>57</v>
      </c>
      <c r="C47" s="70">
        <v>55856.329899999997</v>
      </c>
      <c r="D47" s="70" t="s">
        <v>67</v>
      </c>
      <c r="E47">
        <f t="shared" si="0"/>
        <v>7371.9930090764483</v>
      </c>
      <c r="F47">
        <f t="shared" si="1"/>
        <v>7372</v>
      </c>
      <c r="G47">
        <f t="shared" si="4"/>
        <v>-5.5531698089907877E-3</v>
      </c>
      <c r="K47">
        <f>+G47</f>
        <v>-5.5531698089907877E-3</v>
      </c>
      <c r="O47">
        <f t="shared" ca="1" si="2"/>
        <v>-5.2983796842784522E-3</v>
      </c>
      <c r="Q47" s="2">
        <f t="shared" si="3"/>
        <v>40837.829899999997</v>
      </c>
      <c r="R47" s="2"/>
      <c r="S47">
        <f t="shared" ca="1" si="7"/>
        <v>6.4918007650927467E-8</v>
      </c>
    </row>
    <row r="48" spans="1:19" x14ac:dyDescent="0.2">
      <c r="A48" s="70" t="s">
        <v>178</v>
      </c>
      <c r="B48" s="71" t="s">
        <v>57</v>
      </c>
      <c r="C48" s="70">
        <v>55874.5936</v>
      </c>
      <c r="D48" s="70" t="s">
        <v>67</v>
      </c>
      <c r="E48">
        <f t="shared" si="0"/>
        <v>7394.9853062429393</v>
      </c>
      <c r="F48">
        <f t="shared" si="1"/>
        <v>7395</v>
      </c>
      <c r="G48">
        <f t="shared" si="4"/>
        <v>-1.1671838132315315E-2</v>
      </c>
      <c r="K48">
        <f>+G48</f>
        <v>-1.1671838132315315E-2</v>
      </c>
      <c r="O48">
        <f t="shared" ca="1" si="2"/>
        <v>-5.3056768033156619E-3</v>
      </c>
      <c r="Q48" s="2">
        <f t="shared" si="3"/>
        <v>40856.0936</v>
      </c>
      <c r="R48" s="2"/>
      <c r="S48">
        <f t="shared" ca="1" si="7"/>
        <v>4.0528010066850635E-5</v>
      </c>
    </row>
    <row r="49" spans="2:4" x14ac:dyDescent="0.2">
      <c r="B49" s="6"/>
      <c r="C49" s="37"/>
      <c r="D49" s="37"/>
    </row>
    <row r="50" spans="2:4" x14ac:dyDescent="0.2">
      <c r="B50" s="6"/>
      <c r="C50" s="37"/>
      <c r="D50" s="37"/>
    </row>
    <row r="51" spans="2:4" x14ac:dyDescent="0.2">
      <c r="B51" s="6"/>
      <c r="C51" s="37"/>
      <c r="D51" s="37"/>
    </row>
    <row r="52" spans="2:4" x14ac:dyDescent="0.2">
      <c r="B52" s="6"/>
      <c r="C52" s="37"/>
      <c r="D52" s="37"/>
    </row>
    <row r="53" spans="2:4" x14ac:dyDescent="0.2">
      <c r="B53" s="6"/>
      <c r="C53" s="37"/>
      <c r="D53" s="37"/>
    </row>
    <row r="54" spans="2:4" x14ac:dyDescent="0.2">
      <c r="B54" s="6"/>
      <c r="C54" s="37"/>
      <c r="D54" s="37"/>
    </row>
    <row r="55" spans="2:4" x14ac:dyDescent="0.2">
      <c r="B55" s="6"/>
      <c r="C55" s="37"/>
      <c r="D55" s="37"/>
    </row>
    <row r="56" spans="2:4" x14ac:dyDescent="0.2">
      <c r="B56" s="6"/>
      <c r="C56" s="37"/>
      <c r="D56" s="37"/>
    </row>
    <row r="57" spans="2:4" x14ac:dyDescent="0.2">
      <c r="B57" s="6"/>
      <c r="C57" s="37"/>
      <c r="D57" s="37"/>
    </row>
    <row r="58" spans="2:4" x14ac:dyDescent="0.2">
      <c r="B58" s="6"/>
      <c r="C58" s="37"/>
      <c r="D58" s="37"/>
    </row>
    <row r="59" spans="2:4" x14ac:dyDescent="0.2">
      <c r="B59" s="6"/>
      <c r="C59" s="37"/>
      <c r="D59" s="37"/>
    </row>
    <row r="60" spans="2:4" x14ac:dyDescent="0.2">
      <c r="B60" s="6"/>
      <c r="C60" s="37"/>
      <c r="D60" s="37"/>
    </row>
    <row r="61" spans="2:4" x14ac:dyDescent="0.2">
      <c r="B61" s="6"/>
      <c r="C61" s="37"/>
      <c r="D61" s="37"/>
    </row>
    <row r="62" spans="2:4" x14ac:dyDescent="0.2">
      <c r="B62" s="6"/>
      <c r="C62" s="37"/>
      <c r="D62" s="37"/>
    </row>
    <row r="63" spans="2:4" x14ac:dyDescent="0.2">
      <c r="B63" s="6"/>
      <c r="C63" s="37"/>
      <c r="D63" s="37"/>
    </row>
    <row r="64" spans="2:4" x14ac:dyDescent="0.2">
      <c r="B64" s="6"/>
      <c r="C64" s="37"/>
      <c r="D64" s="37"/>
    </row>
    <row r="65" spans="2:4" x14ac:dyDescent="0.2">
      <c r="B65" s="6"/>
      <c r="C65" s="37"/>
      <c r="D65" s="37"/>
    </row>
    <row r="66" spans="2:4" x14ac:dyDescent="0.2">
      <c r="B66" s="6"/>
      <c r="C66" s="37"/>
      <c r="D66" s="37"/>
    </row>
    <row r="67" spans="2:4" x14ac:dyDescent="0.2">
      <c r="B67" s="6"/>
      <c r="C67" s="37"/>
      <c r="D67" s="37"/>
    </row>
    <row r="68" spans="2:4" x14ac:dyDescent="0.2">
      <c r="C68" s="37"/>
      <c r="D68" s="37"/>
    </row>
    <row r="69" spans="2:4" x14ac:dyDescent="0.2">
      <c r="C69" s="37"/>
      <c r="D69" s="37"/>
    </row>
    <row r="70" spans="2:4" x14ac:dyDescent="0.2">
      <c r="C70" s="37"/>
      <c r="D70" s="37"/>
    </row>
    <row r="71" spans="2:4" x14ac:dyDescent="0.2">
      <c r="C71" s="37"/>
      <c r="D71" s="37"/>
    </row>
    <row r="72" spans="2:4" x14ac:dyDescent="0.2">
      <c r="C72" s="37"/>
      <c r="D72" s="37"/>
    </row>
    <row r="73" spans="2:4" x14ac:dyDescent="0.2">
      <c r="C73" s="37"/>
      <c r="D73" s="37"/>
    </row>
    <row r="74" spans="2:4" x14ac:dyDescent="0.2">
      <c r="C74" s="37"/>
      <c r="D74" s="37"/>
    </row>
    <row r="75" spans="2:4" x14ac:dyDescent="0.2">
      <c r="C75" s="37"/>
      <c r="D75" s="37"/>
    </row>
    <row r="76" spans="2:4" x14ac:dyDescent="0.2">
      <c r="C76" s="37"/>
      <c r="D76" s="37"/>
    </row>
    <row r="77" spans="2:4" x14ac:dyDescent="0.2">
      <c r="C77" s="37"/>
      <c r="D77" s="37"/>
    </row>
    <row r="78" spans="2:4" x14ac:dyDescent="0.2">
      <c r="C78" s="37"/>
      <c r="D78" s="37"/>
    </row>
    <row r="79" spans="2:4" x14ac:dyDescent="0.2">
      <c r="C79" s="37"/>
      <c r="D79" s="37"/>
    </row>
    <row r="80" spans="2:4" x14ac:dyDescent="0.2">
      <c r="C80" s="37"/>
      <c r="D80" s="37"/>
    </row>
    <row r="81" spans="3:4" x14ac:dyDescent="0.2">
      <c r="C81" s="37"/>
      <c r="D81" s="37"/>
    </row>
    <row r="82" spans="3:4" x14ac:dyDescent="0.2">
      <c r="C82" s="37"/>
      <c r="D82" s="37"/>
    </row>
    <row r="83" spans="3:4" x14ac:dyDescent="0.2">
      <c r="C83" s="37"/>
      <c r="D83" s="37"/>
    </row>
    <row r="84" spans="3:4" x14ac:dyDescent="0.2">
      <c r="C84" s="37"/>
      <c r="D84" s="37"/>
    </row>
    <row r="85" spans="3:4" x14ac:dyDescent="0.2">
      <c r="C85" s="37"/>
      <c r="D85" s="37"/>
    </row>
    <row r="86" spans="3:4" x14ac:dyDescent="0.2">
      <c r="C86" s="37"/>
      <c r="D86" s="37"/>
    </row>
    <row r="87" spans="3:4" x14ac:dyDescent="0.2">
      <c r="C87" s="37"/>
      <c r="D87" s="37"/>
    </row>
    <row r="88" spans="3:4" x14ac:dyDescent="0.2">
      <c r="C88" s="37"/>
      <c r="D88" s="37"/>
    </row>
    <row r="89" spans="3:4" x14ac:dyDescent="0.2">
      <c r="C89" s="37"/>
      <c r="D89" s="37"/>
    </row>
    <row r="90" spans="3:4" x14ac:dyDescent="0.2">
      <c r="C90" s="37"/>
      <c r="D90" s="37"/>
    </row>
    <row r="91" spans="3:4" x14ac:dyDescent="0.2">
      <c r="C91" s="37"/>
      <c r="D91" s="37"/>
    </row>
    <row r="92" spans="3:4" x14ac:dyDescent="0.2">
      <c r="C92" s="37"/>
      <c r="D92" s="37"/>
    </row>
    <row r="93" spans="3:4" x14ac:dyDescent="0.2">
      <c r="C93" s="37"/>
      <c r="D93" s="37"/>
    </row>
    <row r="94" spans="3:4" x14ac:dyDescent="0.2">
      <c r="C94" s="37"/>
      <c r="D94" s="37"/>
    </row>
    <row r="95" spans="3:4" x14ac:dyDescent="0.2">
      <c r="C95" s="37"/>
      <c r="D95" s="37"/>
    </row>
    <row r="96" spans="3:4" x14ac:dyDescent="0.2">
      <c r="C96" s="37"/>
      <c r="D96" s="37"/>
    </row>
    <row r="97" spans="3:4" x14ac:dyDescent="0.2">
      <c r="C97" s="37"/>
      <c r="D97" s="37"/>
    </row>
    <row r="98" spans="3:4" x14ac:dyDescent="0.2">
      <c r="C98" s="37"/>
      <c r="D98" s="37"/>
    </row>
    <row r="99" spans="3:4" x14ac:dyDescent="0.2">
      <c r="C99" s="37"/>
      <c r="D99" s="37"/>
    </row>
    <row r="100" spans="3:4" x14ac:dyDescent="0.2">
      <c r="C100" s="37"/>
      <c r="D100" s="37"/>
    </row>
    <row r="101" spans="3:4" x14ac:dyDescent="0.2">
      <c r="C101" s="37"/>
      <c r="D101" s="37"/>
    </row>
    <row r="102" spans="3:4" x14ac:dyDescent="0.2">
      <c r="C102" s="37"/>
      <c r="D102" s="37"/>
    </row>
    <row r="103" spans="3:4" x14ac:dyDescent="0.2">
      <c r="C103" s="37"/>
      <c r="D103" s="37"/>
    </row>
    <row r="104" spans="3:4" x14ac:dyDescent="0.2">
      <c r="C104" s="37"/>
      <c r="D104" s="37"/>
    </row>
    <row r="105" spans="3:4" x14ac:dyDescent="0.2">
      <c r="C105" s="37"/>
      <c r="D105" s="37"/>
    </row>
    <row r="106" spans="3:4" x14ac:dyDescent="0.2">
      <c r="C106" s="37"/>
      <c r="D106" s="37"/>
    </row>
    <row r="107" spans="3:4" x14ac:dyDescent="0.2">
      <c r="C107" s="37"/>
      <c r="D107" s="37"/>
    </row>
    <row r="108" spans="3:4" x14ac:dyDescent="0.2">
      <c r="C108" s="37"/>
      <c r="D108" s="37"/>
    </row>
    <row r="109" spans="3:4" x14ac:dyDescent="0.2">
      <c r="C109" s="37"/>
      <c r="D109" s="37"/>
    </row>
    <row r="110" spans="3:4" x14ac:dyDescent="0.2">
      <c r="C110" s="37"/>
      <c r="D110" s="37"/>
    </row>
    <row r="111" spans="3:4" x14ac:dyDescent="0.2">
      <c r="C111" s="37"/>
      <c r="D111" s="37"/>
    </row>
    <row r="112" spans="3:4" x14ac:dyDescent="0.2">
      <c r="C112" s="37"/>
      <c r="D112" s="37"/>
    </row>
    <row r="113" spans="3:4" x14ac:dyDescent="0.2">
      <c r="C113" s="37"/>
      <c r="D113" s="37"/>
    </row>
    <row r="114" spans="3:4" x14ac:dyDescent="0.2">
      <c r="C114" s="37"/>
      <c r="D114" s="37"/>
    </row>
    <row r="115" spans="3:4" x14ac:dyDescent="0.2">
      <c r="C115" s="37"/>
      <c r="D115" s="37"/>
    </row>
    <row r="116" spans="3:4" x14ac:dyDescent="0.2">
      <c r="C116" s="37"/>
      <c r="D116" s="37"/>
    </row>
    <row r="117" spans="3:4" x14ac:dyDescent="0.2">
      <c r="C117" s="37"/>
      <c r="D117" s="37"/>
    </row>
    <row r="118" spans="3:4" x14ac:dyDescent="0.2">
      <c r="C118" s="37"/>
      <c r="D118" s="37"/>
    </row>
    <row r="119" spans="3:4" x14ac:dyDescent="0.2">
      <c r="C119" s="37"/>
      <c r="D119" s="37"/>
    </row>
    <row r="120" spans="3:4" x14ac:dyDescent="0.2">
      <c r="C120" s="37"/>
      <c r="D120" s="37"/>
    </row>
    <row r="121" spans="3:4" x14ac:dyDescent="0.2">
      <c r="C121" s="37"/>
      <c r="D121" s="37"/>
    </row>
    <row r="122" spans="3:4" x14ac:dyDescent="0.2">
      <c r="C122" s="37"/>
      <c r="D122" s="37"/>
    </row>
    <row r="123" spans="3:4" x14ac:dyDescent="0.2">
      <c r="C123" s="37"/>
      <c r="D123" s="37"/>
    </row>
    <row r="124" spans="3:4" x14ac:dyDescent="0.2">
      <c r="C124" s="37"/>
      <c r="D124" s="37"/>
    </row>
    <row r="125" spans="3:4" x14ac:dyDescent="0.2">
      <c r="C125" s="37"/>
      <c r="D125" s="37"/>
    </row>
    <row r="126" spans="3:4" x14ac:dyDescent="0.2">
      <c r="C126" s="37"/>
      <c r="D126" s="37"/>
    </row>
    <row r="127" spans="3:4" x14ac:dyDescent="0.2">
      <c r="C127" s="37"/>
      <c r="D127" s="37"/>
    </row>
    <row r="128" spans="3:4" x14ac:dyDescent="0.2">
      <c r="C128" s="37"/>
      <c r="D128" s="37"/>
    </row>
    <row r="129" spans="3:4" x14ac:dyDescent="0.2">
      <c r="C129" s="37"/>
      <c r="D129" s="37"/>
    </row>
    <row r="130" spans="3:4" x14ac:dyDescent="0.2">
      <c r="C130" s="37"/>
      <c r="D130" s="37"/>
    </row>
    <row r="131" spans="3:4" x14ac:dyDescent="0.2">
      <c r="C131" s="37"/>
      <c r="D131" s="37"/>
    </row>
    <row r="132" spans="3:4" x14ac:dyDescent="0.2">
      <c r="C132" s="37"/>
      <c r="D132" s="37"/>
    </row>
    <row r="133" spans="3:4" x14ac:dyDescent="0.2">
      <c r="C133" s="37"/>
      <c r="D133" s="37"/>
    </row>
    <row r="134" spans="3:4" x14ac:dyDescent="0.2">
      <c r="C134" s="37"/>
      <c r="D134" s="37"/>
    </row>
    <row r="135" spans="3:4" x14ac:dyDescent="0.2">
      <c r="C135" s="37"/>
      <c r="D135" s="37"/>
    </row>
    <row r="136" spans="3:4" x14ac:dyDescent="0.2">
      <c r="C136" s="37"/>
      <c r="D136" s="37"/>
    </row>
    <row r="137" spans="3:4" x14ac:dyDescent="0.2">
      <c r="C137" s="37"/>
      <c r="D137" s="37"/>
    </row>
    <row r="138" spans="3:4" x14ac:dyDescent="0.2">
      <c r="C138" s="37"/>
      <c r="D138" s="37"/>
    </row>
    <row r="139" spans="3:4" x14ac:dyDescent="0.2">
      <c r="C139" s="37"/>
      <c r="D139" s="37"/>
    </row>
    <row r="140" spans="3:4" x14ac:dyDescent="0.2">
      <c r="C140" s="37"/>
      <c r="D140" s="37"/>
    </row>
    <row r="141" spans="3:4" x14ac:dyDescent="0.2">
      <c r="C141" s="37"/>
      <c r="D141" s="37"/>
    </row>
    <row r="142" spans="3:4" x14ac:dyDescent="0.2">
      <c r="C142" s="37"/>
      <c r="D142" s="37"/>
    </row>
    <row r="143" spans="3:4" x14ac:dyDescent="0.2">
      <c r="C143" s="37"/>
      <c r="D143" s="37"/>
    </row>
    <row r="144" spans="3:4" x14ac:dyDescent="0.2">
      <c r="C144" s="37"/>
      <c r="D144" s="37"/>
    </row>
    <row r="145" spans="3:4" x14ac:dyDescent="0.2">
      <c r="C145" s="37"/>
      <c r="D145" s="37"/>
    </row>
    <row r="146" spans="3:4" x14ac:dyDescent="0.2">
      <c r="C146" s="37"/>
      <c r="D146" s="37"/>
    </row>
    <row r="147" spans="3:4" x14ac:dyDescent="0.2">
      <c r="C147" s="37"/>
      <c r="D147" s="37"/>
    </row>
    <row r="148" spans="3:4" x14ac:dyDescent="0.2">
      <c r="C148" s="37"/>
      <c r="D148" s="37"/>
    </row>
    <row r="149" spans="3:4" x14ac:dyDescent="0.2">
      <c r="C149" s="37"/>
      <c r="D149" s="37"/>
    </row>
    <row r="150" spans="3:4" x14ac:dyDescent="0.2">
      <c r="C150" s="37"/>
      <c r="D150" s="37"/>
    </row>
    <row r="151" spans="3:4" x14ac:dyDescent="0.2">
      <c r="C151" s="37"/>
      <c r="D151" s="37"/>
    </row>
    <row r="152" spans="3:4" x14ac:dyDescent="0.2">
      <c r="C152" s="37"/>
      <c r="D152" s="37"/>
    </row>
    <row r="153" spans="3:4" x14ac:dyDescent="0.2">
      <c r="C153" s="37"/>
      <c r="D153" s="37"/>
    </row>
    <row r="154" spans="3:4" x14ac:dyDescent="0.2">
      <c r="C154" s="37"/>
      <c r="D154" s="37"/>
    </row>
    <row r="155" spans="3:4" x14ac:dyDescent="0.2">
      <c r="C155" s="37"/>
      <c r="D155" s="37"/>
    </row>
    <row r="156" spans="3:4" x14ac:dyDescent="0.2">
      <c r="C156" s="37"/>
      <c r="D156" s="37"/>
    </row>
    <row r="157" spans="3:4" x14ac:dyDescent="0.2">
      <c r="C157" s="37"/>
      <c r="D157" s="37"/>
    </row>
    <row r="158" spans="3:4" x14ac:dyDescent="0.2">
      <c r="C158" s="37"/>
      <c r="D158" s="37"/>
    </row>
    <row r="159" spans="3:4" x14ac:dyDescent="0.2">
      <c r="C159" s="37"/>
      <c r="D159" s="37"/>
    </row>
    <row r="160" spans="3:4" x14ac:dyDescent="0.2">
      <c r="C160" s="37"/>
      <c r="D160" s="37"/>
    </row>
    <row r="161" spans="3:4" x14ac:dyDescent="0.2">
      <c r="C161" s="37"/>
      <c r="D161" s="37"/>
    </row>
    <row r="162" spans="3:4" x14ac:dyDescent="0.2">
      <c r="C162" s="37"/>
      <c r="D162" s="37"/>
    </row>
    <row r="163" spans="3:4" x14ac:dyDescent="0.2">
      <c r="C163" s="37"/>
      <c r="D163" s="37"/>
    </row>
    <row r="164" spans="3:4" x14ac:dyDescent="0.2">
      <c r="C164" s="37"/>
      <c r="D164" s="37"/>
    </row>
    <row r="165" spans="3:4" x14ac:dyDescent="0.2">
      <c r="C165" s="37"/>
      <c r="D165" s="37"/>
    </row>
    <row r="166" spans="3:4" x14ac:dyDescent="0.2">
      <c r="C166" s="37"/>
      <c r="D166" s="37"/>
    </row>
    <row r="167" spans="3:4" x14ac:dyDescent="0.2">
      <c r="C167" s="37"/>
      <c r="D167" s="37"/>
    </row>
    <row r="168" spans="3:4" x14ac:dyDescent="0.2">
      <c r="C168" s="37"/>
      <c r="D168" s="37"/>
    </row>
    <row r="169" spans="3:4" x14ac:dyDescent="0.2">
      <c r="C169" s="37"/>
      <c r="D169" s="37"/>
    </row>
    <row r="170" spans="3:4" x14ac:dyDescent="0.2">
      <c r="C170" s="37"/>
      <c r="D170" s="37"/>
    </row>
    <row r="171" spans="3:4" x14ac:dyDescent="0.2">
      <c r="C171" s="37"/>
      <c r="D171" s="37"/>
    </row>
    <row r="172" spans="3:4" x14ac:dyDescent="0.2">
      <c r="C172" s="37"/>
      <c r="D172" s="37"/>
    </row>
    <row r="173" spans="3:4" x14ac:dyDescent="0.2">
      <c r="C173" s="37"/>
      <c r="D173" s="37"/>
    </row>
    <row r="174" spans="3:4" x14ac:dyDescent="0.2">
      <c r="C174" s="37"/>
      <c r="D174" s="37"/>
    </row>
    <row r="175" spans="3:4" x14ac:dyDescent="0.2">
      <c r="C175" s="37"/>
      <c r="D175" s="37"/>
    </row>
    <row r="176" spans="3:4" x14ac:dyDescent="0.2">
      <c r="C176" s="37"/>
      <c r="D176" s="37"/>
    </row>
    <row r="177" spans="3:4" x14ac:dyDescent="0.2">
      <c r="C177" s="37"/>
      <c r="D177" s="37"/>
    </row>
    <row r="178" spans="3:4" x14ac:dyDescent="0.2">
      <c r="C178" s="37"/>
      <c r="D178" s="37"/>
    </row>
    <row r="179" spans="3:4" x14ac:dyDescent="0.2">
      <c r="C179" s="37"/>
      <c r="D179" s="37"/>
    </row>
    <row r="180" spans="3:4" x14ac:dyDescent="0.2">
      <c r="C180" s="37"/>
      <c r="D180" s="37"/>
    </row>
    <row r="181" spans="3:4" x14ac:dyDescent="0.2">
      <c r="C181" s="37"/>
      <c r="D181" s="37"/>
    </row>
    <row r="182" spans="3:4" x14ac:dyDescent="0.2">
      <c r="C182" s="37"/>
      <c r="D182" s="37"/>
    </row>
    <row r="183" spans="3:4" x14ac:dyDescent="0.2">
      <c r="C183" s="37"/>
      <c r="D183" s="37"/>
    </row>
    <row r="184" spans="3:4" x14ac:dyDescent="0.2">
      <c r="C184" s="37"/>
      <c r="D184" s="37"/>
    </row>
    <row r="185" spans="3:4" x14ac:dyDescent="0.2">
      <c r="C185" s="37"/>
      <c r="D185" s="37"/>
    </row>
    <row r="186" spans="3:4" x14ac:dyDescent="0.2">
      <c r="C186" s="37"/>
      <c r="D186" s="37"/>
    </row>
    <row r="187" spans="3:4" x14ac:dyDescent="0.2">
      <c r="C187" s="37"/>
      <c r="D187" s="37"/>
    </row>
    <row r="188" spans="3:4" x14ac:dyDescent="0.2">
      <c r="C188" s="37"/>
      <c r="D188" s="37"/>
    </row>
    <row r="189" spans="3:4" x14ac:dyDescent="0.2">
      <c r="C189" s="37"/>
      <c r="D189" s="37"/>
    </row>
    <row r="190" spans="3:4" x14ac:dyDescent="0.2">
      <c r="C190" s="37"/>
      <c r="D190" s="37"/>
    </row>
    <row r="191" spans="3:4" x14ac:dyDescent="0.2">
      <c r="C191" s="37"/>
      <c r="D191" s="37"/>
    </row>
    <row r="192" spans="3:4" x14ac:dyDescent="0.2">
      <c r="C192" s="37"/>
      <c r="D192" s="37"/>
    </row>
    <row r="193" spans="3:4" x14ac:dyDescent="0.2">
      <c r="C193" s="37"/>
      <c r="D193" s="37"/>
    </row>
    <row r="194" spans="3:4" x14ac:dyDescent="0.2">
      <c r="C194" s="37"/>
      <c r="D194" s="37"/>
    </row>
    <row r="195" spans="3:4" x14ac:dyDescent="0.2">
      <c r="C195" s="37"/>
      <c r="D195" s="37"/>
    </row>
    <row r="196" spans="3:4" x14ac:dyDescent="0.2">
      <c r="C196" s="37"/>
      <c r="D196" s="37"/>
    </row>
    <row r="197" spans="3:4" x14ac:dyDescent="0.2">
      <c r="C197" s="37"/>
      <c r="D197" s="37"/>
    </row>
    <row r="198" spans="3:4" x14ac:dyDescent="0.2">
      <c r="C198" s="37"/>
      <c r="D198" s="37"/>
    </row>
    <row r="199" spans="3:4" x14ac:dyDescent="0.2">
      <c r="C199" s="37"/>
      <c r="D199" s="37"/>
    </row>
    <row r="200" spans="3:4" x14ac:dyDescent="0.2">
      <c r="C200" s="37"/>
      <c r="D200" s="37"/>
    </row>
    <row r="201" spans="3:4" x14ac:dyDescent="0.2">
      <c r="C201" s="37"/>
      <c r="D201" s="37"/>
    </row>
    <row r="202" spans="3:4" x14ac:dyDescent="0.2">
      <c r="C202" s="37"/>
      <c r="D202" s="37"/>
    </row>
    <row r="203" spans="3:4" x14ac:dyDescent="0.2">
      <c r="C203" s="37"/>
      <c r="D203" s="37"/>
    </row>
    <row r="204" spans="3:4" x14ac:dyDescent="0.2">
      <c r="C204" s="37"/>
      <c r="D204" s="37"/>
    </row>
    <row r="205" spans="3:4" x14ac:dyDescent="0.2">
      <c r="C205" s="37"/>
      <c r="D205" s="37"/>
    </row>
    <row r="206" spans="3:4" x14ac:dyDescent="0.2">
      <c r="C206" s="37"/>
      <c r="D206" s="37"/>
    </row>
    <row r="207" spans="3:4" x14ac:dyDescent="0.2">
      <c r="C207" s="37"/>
      <c r="D207" s="37"/>
    </row>
    <row r="208" spans="3:4" x14ac:dyDescent="0.2">
      <c r="C208" s="37"/>
      <c r="D208" s="37"/>
    </row>
    <row r="209" spans="3:4" x14ac:dyDescent="0.2">
      <c r="C209" s="37"/>
      <c r="D209" s="37"/>
    </row>
    <row r="210" spans="3:4" x14ac:dyDescent="0.2">
      <c r="C210" s="37"/>
      <c r="D210" s="37"/>
    </row>
    <row r="211" spans="3:4" x14ac:dyDescent="0.2">
      <c r="C211" s="37"/>
      <c r="D211" s="37"/>
    </row>
    <row r="212" spans="3:4" x14ac:dyDescent="0.2">
      <c r="C212" s="37"/>
      <c r="D212" s="37"/>
    </row>
    <row r="213" spans="3:4" x14ac:dyDescent="0.2">
      <c r="C213" s="37"/>
      <c r="D213" s="37"/>
    </row>
    <row r="214" spans="3:4" x14ac:dyDescent="0.2">
      <c r="C214" s="37"/>
      <c r="D214" s="37"/>
    </row>
    <row r="215" spans="3:4" x14ac:dyDescent="0.2">
      <c r="C215" s="37"/>
      <c r="D215" s="37"/>
    </row>
    <row r="216" spans="3:4" x14ac:dyDescent="0.2">
      <c r="C216" s="37"/>
      <c r="D216" s="37"/>
    </row>
    <row r="217" spans="3:4" x14ac:dyDescent="0.2">
      <c r="C217" s="37"/>
      <c r="D217" s="37"/>
    </row>
    <row r="218" spans="3:4" x14ac:dyDescent="0.2">
      <c r="C218" s="37"/>
      <c r="D218" s="37"/>
    </row>
    <row r="219" spans="3:4" x14ac:dyDescent="0.2">
      <c r="C219" s="37"/>
      <c r="D219" s="37"/>
    </row>
    <row r="220" spans="3:4" x14ac:dyDescent="0.2">
      <c r="C220" s="37"/>
      <c r="D220" s="37"/>
    </row>
    <row r="221" spans="3:4" x14ac:dyDescent="0.2">
      <c r="C221" s="37"/>
      <c r="D221" s="37"/>
    </row>
    <row r="222" spans="3:4" x14ac:dyDescent="0.2">
      <c r="C222" s="37"/>
      <c r="D222" s="37"/>
    </row>
    <row r="223" spans="3:4" x14ac:dyDescent="0.2">
      <c r="C223" s="37"/>
      <c r="D223" s="37"/>
    </row>
    <row r="224" spans="3:4" x14ac:dyDescent="0.2">
      <c r="C224" s="37"/>
      <c r="D224" s="37"/>
    </row>
    <row r="225" spans="3:4" x14ac:dyDescent="0.2">
      <c r="C225" s="37"/>
      <c r="D225" s="37"/>
    </row>
    <row r="226" spans="3:4" x14ac:dyDescent="0.2">
      <c r="C226" s="37"/>
      <c r="D226" s="37"/>
    </row>
    <row r="227" spans="3:4" x14ac:dyDescent="0.2">
      <c r="C227" s="37"/>
      <c r="D227" s="37"/>
    </row>
    <row r="228" spans="3:4" x14ac:dyDescent="0.2">
      <c r="C228" s="37"/>
      <c r="D228" s="37"/>
    </row>
    <row r="229" spans="3:4" x14ac:dyDescent="0.2">
      <c r="C229" s="37"/>
      <c r="D229" s="37"/>
    </row>
    <row r="230" spans="3:4" x14ac:dyDescent="0.2">
      <c r="C230" s="37"/>
      <c r="D230" s="37"/>
    </row>
    <row r="231" spans="3:4" x14ac:dyDescent="0.2">
      <c r="C231" s="37"/>
      <c r="D231" s="37"/>
    </row>
    <row r="232" spans="3:4" x14ac:dyDescent="0.2">
      <c r="C232" s="37"/>
      <c r="D232" s="37"/>
    </row>
    <row r="233" spans="3:4" x14ac:dyDescent="0.2">
      <c r="C233" s="37"/>
      <c r="D233" s="37"/>
    </row>
    <row r="234" spans="3:4" x14ac:dyDescent="0.2">
      <c r="C234" s="37"/>
      <c r="D234" s="37"/>
    </row>
    <row r="235" spans="3:4" x14ac:dyDescent="0.2">
      <c r="C235" s="37"/>
      <c r="D235" s="37"/>
    </row>
    <row r="236" spans="3:4" x14ac:dyDescent="0.2">
      <c r="C236" s="37"/>
      <c r="D236" s="37"/>
    </row>
    <row r="237" spans="3:4" x14ac:dyDescent="0.2">
      <c r="C237" s="37"/>
      <c r="D237" s="37"/>
    </row>
    <row r="238" spans="3:4" x14ac:dyDescent="0.2">
      <c r="C238" s="37"/>
      <c r="D238" s="37"/>
    </row>
    <row r="239" spans="3:4" x14ac:dyDescent="0.2">
      <c r="C239" s="37"/>
      <c r="D239" s="37"/>
    </row>
    <row r="240" spans="3:4" x14ac:dyDescent="0.2">
      <c r="C240" s="37"/>
      <c r="D240" s="37"/>
    </row>
    <row r="241" spans="3:4" x14ac:dyDescent="0.2">
      <c r="C241" s="37"/>
      <c r="D241" s="37"/>
    </row>
    <row r="242" spans="3:4" x14ac:dyDescent="0.2">
      <c r="C242" s="37"/>
      <c r="D242" s="37"/>
    </row>
    <row r="243" spans="3:4" x14ac:dyDescent="0.2">
      <c r="C243" s="37"/>
      <c r="D243" s="37"/>
    </row>
    <row r="244" spans="3:4" x14ac:dyDescent="0.2">
      <c r="C244" s="37"/>
      <c r="D244" s="37"/>
    </row>
    <row r="245" spans="3:4" x14ac:dyDescent="0.2">
      <c r="C245" s="37"/>
      <c r="D245" s="37"/>
    </row>
    <row r="246" spans="3:4" x14ac:dyDescent="0.2">
      <c r="C246" s="37"/>
      <c r="D246" s="37"/>
    </row>
    <row r="247" spans="3:4" x14ac:dyDescent="0.2">
      <c r="C247" s="37"/>
      <c r="D247" s="37"/>
    </row>
    <row r="248" spans="3:4" x14ac:dyDescent="0.2">
      <c r="C248" s="37"/>
      <c r="D248" s="37"/>
    </row>
    <row r="249" spans="3:4" x14ac:dyDescent="0.2">
      <c r="C249" s="37"/>
      <c r="D249" s="37"/>
    </row>
    <row r="250" spans="3:4" x14ac:dyDescent="0.2">
      <c r="C250" s="37"/>
      <c r="D250" s="37"/>
    </row>
    <row r="251" spans="3:4" x14ac:dyDescent="0.2">
      <c r="C251" s="37"/>
      <c r="D251" s="37"/>
    </row>
    <row r="252" spans="3:4" x14ac:dyDescent="0.2">
      <c r="C252" s="37"/>
      <c r="D252" s="37"/>
    </row>
    <row r="253" spans="3:4" x14ac:dyDescent="0.2">
      <c r="C253" s="37"/>
      <c r="D253" s="37"/>
    </row>
    <row r="254" spans="3:4" x14ac:dyDescent="0.2">
      <c r="C254" s="37"/>
      <c r="D254" s="37"/>
    </row>
    <row r="255" spans="3:4" x14ac:dyDescent="0.2">
      <c r="C255" s="37"/>
      <c r="D255" s="37"/>
    </row>
    <row r="256" spans="3:4" x14ac:dyDescent="0.2">
      <c r="C256" s="37"/>
      <c r="D256" s="37"/>
    </row>
    <row r="257" spans="3:4" x14ac:dyDescent="0.2">
      <c r="C257" s="37"/>
      <c r="D257" s="37"/>
    </row>
    <row r="258" spans="3:4" x14ac:dyDescent="0.2">
      <c r="C258" s="37"/>
      <c r="D258" s="37"/>
    </row>
    <row r="259" spans="3:4" x14ac:dyDescent="0.2">
      <c r="C259" s="37"/>
      <c r="D259" s="37"/>
    </row>
    <row r="260" spans="3:4" x14ac:dyDescent="0.2">
      <c r="C260" s="37"/>
      <c r="D260" s="37"/>
    </row>
    <row r="261" spans="3:4" x14ac:dyDescent="0.2">
      <c r="C261" s="37"/>
      <c r="D261" s="37"/>
    </row>
    <row r="262" spans="3:4" x14ac:dyDescent="0.2">
      <c r="C262" s="37"/>
      <c r="D262" s="37"/>
    </row>
    <row r="263" spans="3:4" x14ac:dyDescent="0.2">
      <c r="C263" s="37"/>
      <c r="D263" s="37"/>
    </row>
    <row r="264" spans="3:4" x14ac:dyDescent="0.2">
      <c r="C264" s="37"/>
      <c r="D264" s="37"/>
    </row>
    <row r="265" spans="3:4" x14ac:dyDescent="0.2">
      <c r="C265" s="37"/>
      <c r="D265" s="37"/>
    </row>
    <row r="266" spans="3:4" x14ac:dyDescent="0.2">
      <c r="C266" s="37"/>
      <c r="D266" s="37"/>
    </row>
    <row r="267" spans="3:4" x14ac:dyDescent="0.2">
      <c r="C267" s="37"/>
      <c r="D267" s="37"/>
    </row>
    <row r="268" spans="3:4" x14ac:dyDescent="0.2">
      <c r="C268" s="37"/>
      <c r="D268" s="37"/>
    </row>
    <row r="269" spans="3:4" x14ac:dyDescent="0.2">
      <c r="C269" s="37"/>
      <c r="D269" s="37"/>
    </row>
    <row r="270" spans="3:4" x14ac:dyDescent="0.2">
      <c r="C270" s="37"/>
      <c r="D270" s="37"/>
    </row>
    <row r="271" spans="3:4" x14ac:dyDescent="0.2">
      <c r="C271" s="37"/>
      <c r="D271" s="37"/>
    </row>
    <row r="272" spans="3:4" x14ac:dyDescent="0.2">
      <c r="C272" s="37"/>
      <c r="D272" s="37"/>
    </row>
    <row r="273" spans="3:4" x14ac:dyDescent="0.2">
      <c r="C273" s="37"/>
      <c r="D273" s="37"/>
    </row>
    <row r="274" spans="3:4" x14ac:dyDescent="0.2">
      <c r="C274" s="37"/>
      <c r="D274" s="37"/>
    </row>
    <row r="275" spans="3:4" x14ac:dyDescent="0.2">
      <c r="C275" s="37"/>
      <c r="D275" s="37"/>
    </row>
    <row r="276" spans="3:4" x14ac:dyDescent="0.2">
      <c r="C276" s="37"/>
      <c r="D276" s="37"/>
    </row>
    <row r="277" spans="3:4" x14ac:dyDescent="0.2">
      <c r="C277" s="37"/>
      <c r="D277" s="37"/>
    </row>
    <row r="278" spans="3:4" x14ac:dyDescent="0.2">
      <c r="C278" s="37"/>
      <c r="D278" s="37"/>
    </row>
    <row r="279" spans="3:4" x14ac:dyDescent="0.2">
      <c r="C279" s="37"/>
      <c r="D279" s="37"/>
    </row>
    <row r="280" spans="3:4" x14ac:dyDescent="0.2">
      <c r="C280" s="37"/>
      <c r="D280" s="37"/>
    </row>
    <row r="281" spans="3:4" x14ac:dyDescent="0.2">
      <c r="C281" s="37"/>
      <c r="D281" s="37"/>
    </row>
    <row r="282" spans="3:4" x14ac:dyDescent="0.2">
      <c r="C282" s="37"/>
      <c r="D282" s="37"/>
    </row>
    <row r="283" spans="3:4" x14ac:dyDescent="0.2">
      <c r="C283" s="37"/>
      <c r="D283" s="37"/>
    </row>
    <row r="284" spans="3:4" x14ac:dyDescent="0.2">
      <c r="C284" s="37"/>
      <c r="D284" s="37"/>
    </row>
    <row r="285" spans="3:4" x14ac:dyDescent="0.2">
      <c r="C285" s="37"/>
      <c r="D285" s="37"/>
    </row>
    <row r="286" spans="3:4" x14ac:dyDescent="0.2">
      <c r="C286" s="37"/>
      <c r="D286" s="37"/>
    </row>
    <row r="287" spans="3:4" x14ac:dyDescent="0.2">
      <c r="C287" s="37"/>
      <c r="D287" s="37"/>
    </row>
    <row r="288" spans="3:4" x14ac:dyDescent="0.2">
      <c r="C288" s="37"/>
      <c r="D288" s="37"/>
    </row>
    <row r="289" spans="3:4" x14ac:dyDescent="0.2">
      <c r="C289" s="37"/>
      <c r="D289" s="37"/>
    </row>
    <row r="290" spans="3:4" x14ac:dyDescent="0.2">
      <c r="C290" s="37"/>
      <c r="D290" s="37"/>
    </row>
    <row r="291" spans="3:4" x14ac:dyDescent="0.2">
      <c r="C291" s="37"/>
      <c r="D291" s="37"/>
    </row>
    <row r="292" spans="3:4" x14ac:dyDescent="0.2">
      <c r="C292" s="37"/>
      <c r="D292" s="37"/>
    </row>
    <row r="293" spans="3:4" x14ac:dyDescent="0.2">
      <c r="C293" s="37"/>
      <c r="D293" s="37"/>
    </row>
    <row r="294" spans="3:4" x14ac:dyDescent="0.2">
      <c r="C294" s="37"/>
      <c r="D294" s="37"/>
    </row>
    <row r="295" spans="3:4" x14ac:dyDescent="0.2">
      <c r="C295" s="37"/>
      <c r="D295" s="37"/>
    </row>
    <row r="296" spans="3:4" x14ac:dyDescent="0.2">
      <c r="C296" s="37"/>
      <c r="D296" s="37"/>
    </row>
    <row r="297" spans="3:4" x14ac:dyDescent="0.2">
      <c r="C297" s="37"/>
      <c r="D297" s="37"/>
    </row>
    <row r="298" spans="3:4" x14ac:dyDescent="0.2">
      <c r="C298" s="37"/>
      <c r="D298" s="37"/>
    </row>
    <row r="299" spans="3:4" x14ac:dyDescent="0.2">
      <c r="C299" s="37"/>
      <c r="D299" s="37"/>
    </row>
    <row r="300" spans="3:4" x14ac:dyDescent="0.2">
      <c r="C300" s="37"/>
      <c r="D300" s="37"/>
    </row>
    <row r="301" spans="3:4" x14ac:dyDescent="0.2">
      <c r="C301" s="37"/>
      <c r="D301" s="37"/>
    </row>
    <row r="302" spans="3:4" x14ac:dyDescent="0.2">
      <c r="C302" s="37"/>
      <c r="D302" s="37"/>
    </row>
    <row r="303" spans="3:4" x14ac:dyDescent="0.2">
      <c r="C303" s="37"/>
      <c r="D303" s="37"/>
    </row>
    <row r="304" spans="3:4" x14ac:dyDescent="0.2">
      <c r="C304" s="37"/>
      <c r="D304" s="37"/>
    </row>
    <row r="305" spans="3:4" x14ac:dyDescent="0.2">
      <c r="C305" s="37"/>
      <c r="D305" s="37"/>
    </row>
    <row r="306" spans="3:4" x14ac:dyDescent="0.2">
      <c r="C306" s="37"/>
      <c r="D306" s="37"/>
    </row>
    <row r="307" spans="3:4" x14ac:dyDescent="0.2">
      <c r="C307" s="37"/>
      <c r="D307" s="37"/>
    </row>
    <row r="308" spans="3:4" x14ac:dyDescent="0.2">
      <c r="C308" s="37"/>
      <c r="D308" s="37"/>
    </row>
    <row r="309" spans="3:4" x14ac:dyDescent="0.2">
      <c r="C309" s="37"/>
      <c r="D309" s="37"/>
    </row>
    <row r="310" spans="3:4" x14ac:dyDescent="0.2">
      <c r="C310" s="37"/>
      <c r="D310" s="37"/>
    </row>
    <row r="311" spans="3:4" x14ac:dyDescent="0.2">
      <c r="C311" s="37"/>
      <c r="D311" s="37"/>
    </row>
    <row r="312" spans="3:4" x14ac:dyDescent="0.2">
      <c r="C312" s="37"/>
      <c r="D312" s="37"/>
    </row>
    <row r="313" spans="3:4" x14ac:dyDescent="0.2">
      <c r="C313" s="37"/>
      <c r="D313" s="37"/>
    </row>
    <row r="314" spans="3:4" x14ac:dyDescent="0.2">
      <c r="C314" s="37"/>
      <c r="D314" s="37"/>
    </row>
    <row r="315" spans="3:4" x14ac:dyDescent="0.2">
      <c r="C315" s="37"/>
      <c r="D315" s="37"/>
    </row>
    <row r="316" spans="3:4" x14ac:dyDescent="0.2">
      <c r="C316" s="37"/>
      <c r="D316" s="37"/>
    </row>
    <row r="317" spans="3:4" x14ac:dyDescent="0.2">
      <c r="C317" s="37"/>
      <c r="D317" s="37"/>
    </row>
    <row r="318" spans="3:4" x14ac:dyDescent="0.2">
      <c r="C318" s="37"/>
      <c r="D318" s="37"/>
    </row>
    <row r="319" spans="3:4" x14ac:dyDescent="0.2">
      <c r="C319" s="37"/>
      <c r="D319" s="37"/>
    </row>
    <row r="320" spans="3:4" x14ac:dyDescent="0.2">
      <c r="C320" s="37"/>
      <c r="D320" s="37"/>
    </row>
    <row r="321" spans="3:4" x14ac:dyDescent="0.2">
      <c r="C321" s="37"/>
      <c r="D321" s="37"/>
    </row>
    <row r="322" spans="3:4" x14ac:dyDescent="0.2">
      <c r="C322" s="37"/>
      <c r="D322" s="37"/>
    </row>
    <row r="323" spans="3:4" x14ac:dyDescent="0.2">
      <c r="C323" s="37"/>
      <c r="D323" s="37"/>
    </row>
    <row r="324" spans="3:4" x14ac:dyDescent="0.2">
      <c r="C324" s="37"/>
      <c r="D324" s="37"/>
    </row>
    <row r="325" spans="3:4" x14ac:dyDescent="0.2">
      <c r="C325" s="37"/>
      <c r="D325" s="37"/>
    </row>
    <row r="326" spans="3:4" x14ac:dyDescent="0.2">
      <c r="C326" s="37"/>
      <c r="D326" s="37"/>
    </row>
    <row r="327" spans="3:4" x14ac:dyDescent="0.2">
      <c r="C327" s="37"/>
      <c r="D327" s="37"/>
    </row>
    <row r="328" spans="3:4" x14ac:dyDescent="0.2">
      <c r="C328" s="37"/>
      <c r="D328" s="37"/>
    </row>
    <row r="329" spans="3:4" x14ac:dyDescent="0.2">
      <c r="C329" s="37"/>
      <c r="D329" s="37"/>
    </row>
    <row r="330" spans="3:4" x14ac:dyDescent="0.2">
      <c r="C330" s="37"/>
      <c r="D330" s="37"/>
    </row>
    <row r="331" spans="3:4" x14ac:dyDescent="0.2">
      <c r="C331" s="37"/>
      <c r="D331" s="37"/>
    </row>
    <row r="332" spans="3:4" x14ac:dyDescent="0.2">
      <c r="C332" s="37"/>
      <c r="D332" s="37"/>
    </row>
    <row r="333" spans="3:4" x14ac:dyDescent="0.2">
      <c r="C333" s="37"/>
      <c r="D333" s="37"/>
    </row>
    <row r="334" spans="3:4" x14ac:dyDescent="0.2">
      <c r="C334" s="37"/>
      <c r="D334" s="37"/>
    </row>
    <row r="335" spans="3:4" x14ac:dyDescent="0.2">
      <c r="C335" s="37"/>
      <c r="D335" s="37"/>
    </row>
    <row r="336" spans="3:4" x14ac:dyDescent="0.2">
      <c r="C336" s="37"/>
      <c r="D336" s="37"/>
    </row>
    <row r="337" spans="3:4" x14ac:dyDescent="0.2">
      <c r="C337" s="37"/>
      <c r="D337" s="37"/>
    </row>
    <row r="338" spans="3:4" x14ac:dyDescent="0.2">
      <c r="C338" s="37"/>
      <c r="D338" s="37"/>
    </row>
    <row r="339" spans="3:4" x14ac:dyDescent="0.2">
      <c r="C339" s="37"/>
      <c r="D339" s="37"/>
    </row>
    <row r="340" spans="3:4" x14ac:dyDescent="0.2">
      <c r="C340" s="37"/>
      <c r="D340" s="37"/>
    </row>
    <row r="341" spans="3:4" x14ac:dyDescent="0.2">
      <c r="C341" s="37"/>
      <c r="D341" s="37"/>
    </row>
    <row r="342" spans="3:4" x14ac:dyDescent="0.2">
      <c r="C342" s="37"/>
      <c r="D342" s="37"/>
    </row>
    <row r="343" spans="3:4" x14ac:dyDescent="0.2">
      <c r="C343" s="37"/>
      <c r="D343" s="37"/>
    </row>
    <row r="344" spans="3:4" x14ac:dyDescent="0.2">
      <c r="C344" s="37"/>
      <c r="D344" s="37"/>
    </row>
    <row r="345" spans="3:4" x14ac:dyDescent="0.2">
      <c r="C345" s="37"/>
      <c r="D345" s="37"/>
    </row>
    <row r="346" spans="3:4" x14ac:dyDescent="0.2">
      <c r="C346" s="37"/>
      <c r="D346" s="37"/>
    </row>
    <row r="347" spans="3:4" x14ac:dyDescent="0.2">
      <c r="C347" s="37"/>
      <c r="D347" s="37"/>
    </row>
    <row r="348" spans="3:4" x14ac:dyDescent="0.2">
      <c r="C348" s="37"/>
      <c r="D348" s="37"/>
    </row>
    <row r="349" spans="3:4" x14ac:dyDescent="0.2">
      <c r="C349" s="37"/>
      <c r="D349" s="37"/>
    </row>
    <row r="350" spans="3:4" x14ac:dyDescent="0.2">
      <c r="C350" s="37"/>
      <c r="D350" s="37"/>
    </row>
    <row r="351" spans="3:4" x14ac:dyDescent="0.2">
      <c r="C351" s="37"/>
      <c r="D351" s="37"/>
    </row>
    <row r="352" spans="3:4" x14ac:dyDescent="0.2">
      <c r="C352" s="37"/>
      <c r="D352" s="37"/>
    </row>
    <row r="353" spans="3:4" x14ac:dyDescent="0.2">
      <c r="C353" s="37"/>
      <c r="D353" s="37"/>
    </row>
    <row r="354" spans="3:4" x14ac:dyDescent="0.2">
      <c r="C354" s="37"/>
      <c r="D354" s="37"/>
    </row>
    <row r="355" spans="3:4" x14ac:dyDescent="0.2">
      <c r="C355" s="37"/>
      <c r="D355" s="37"/>
    </row>
    <row r="356" spans="3:4" x14ac:dyDescent="0.2">
      <c r="C356" s="37"/>
      <c r="D356" s="37"/>
    </row>
    <row r="357" spans="3:4" x14ac:dyDescent="0.2">
      <c r="C357" s="37"/>
      <c r="D357" s="37"/>
    </row>
    <row r="358" spans="3:4" x14ac:dyDescent="0.2">
      <c r="C358" s="37"/>
      <c r="D358" s="37"/>
    </row>
    <row r="359" spans="3:4" x14ac:dyDescent="0.2">
      <c r="C359" s="37"/>
      <c r="D359" s="37"/>
    </row>
    <row r="360" spans="3:4" x14ac:dyDescent="0.2">
      <c r="C360" s="37"/>
      <c r="D360" s="37"/>
    </row>
    <row r="361" spans="3:4" x14ac:dyDescent="0.2">
      <c r="C361" s="37"/>
      <c r="D361" s="37"/>
    </row>
    <row r="362" spans="3:4" x14ac:dyDescent="0.2">
      <c r="C362" s="37"/>
      <c r="D362" s="37"/>
    </row>
    <row r="363" spans="3:4" x14ac:dyDescent="0.2">
      <c r="C363" s="37"/>
      <c r="D363" s="37"/>
    </row>
    <row r="364" spans="3:4" x14ac:dyDescent="0.2">
      <c r="C364" s="37"/>
      <c r="D364" s="37"/>
    </row>
    <row r="365" spans="3:4" x14ac:dyDescent="0.2">
      <c r="C365" s="37"/>
      <c r="D365" s="37"/>
    </row>
    <row r="366" spans="3:4" x14ac:dyDescent="0.2">
      <c r="C366" s="37"/>
      <c r="D366" s="37"/>
    </row>
    <row r="367" spans="3:4" x14ac:dyDescent="0.2">
      <c r="C367" s="37"/>
      <c r="D367" s="37"/>
    </row>
    <row r="368" spans="3:4" x14ac:dyDescent="0.2">
      <c r="C368" s="37"/>
      <c r="D368" s="37"/>
    </row>
    <row r="369" spans="3:4" x14ac:dyDescent="0.2">
      <c r="C369" s="37"/>
      <c r="D369" s="37"/>
    </row>
    <row r="370" spans="3:4" x14ac:dyDescent="0.2">
      <c r="C370" s="37"/>
      <c r="D370" s="37"/>
    </row>
    <row r="371" spans="3:4" x14ac:dyDescent="0.2">
      <c r="C371" s="37"/>
      <c r="D371" s="37"/>
    </row>
    <row r="372" spans="3:4" x14ac:dyDescent="0.2">
      <c r="C372" s="37"/>
      <c r="D372" s="37"/>
    </row>
    <row r="373" spans="3:4" x14ac:dyDescent="0.2">
      <c r="C373" s="37"/>
      <c r="D373" s="37"/>
    </row>
    <row r="374" spans="3:4" x14ac:dyDescent="0.2">
      <c r="C374" s="37"/>
      <c r="D374" s="37"/>
    </row>
    <row r="375" spans="3:4" x14ac:dyDescent="0.2">
      <c r="C375" s="37"/>
      <c r="D375" s="37"/>
    </row>
    <row r="376" spans="3:4" x14ac:dyDescent="0.2">
      <c r="C376" s="37"/>
      <c r="D376" s="37"/>
    </row>
    <row r="377" spans="3:4" x14ac:dyDescent="0.2">
      <c r="C377" s="37"/>
      <c r="D377" s="37"/>
    </row>
    <row r="378" spans="3:4" x14ac:dyDescent="0.2">
      <c r="C378" s="37"/>
      <c r="D378" s="37"/>
    </row>
    <row r="379" spans="3:4" x14ac:dyDescent="0.2">
      <c r="C379" s="37"/>
      <c r="D379" s="37"/>
    </row>
    <row r="380" spans="3:4" x14ac:dyDescent="0.2">
      <c r="C380" s="37"/>
      <c r="D380" s="37"/>
    </row>
    <row r="381" spans="3:4" x14ac:dyDescent="0.2">
      <c r="C381" s="37"/>
      <c r="D381" s="37"/>
    </row>
    <row r="382" spans="3:4" x14ac:dyDescent="0.2">
      <c r="C382" s="37"/>
      <c r="D382" s="37"/>
    </row>
    <row r="383" spans="3:4" x14ac:dyDescent="0.2">
      <c r="C383" s="37"/>
      <c r="D383" s="37"/>
    </row>
    <row r="384" spans="3:4" x14ac:dyDescent="0.2">
      <c r="C384" s="37"/>
      <c r="D384" s="37"/>
    </row>
    <row r="385" spans="3:4" x14ac:dyDescent="0.2">
      <c r="C385" s="37"/>
      <c r="D385" s="37"/>
    </row>
    <row r="386" spans="3:4" x14ac:dyDescent="0.2">
      <c r="C386" s="37"/>
      <c r="D386" s="37"/>
    </row>
    <row r="387" spans="3:4" x14ac:dyDescent="0.2">
      <c r="C387" s="37"/>
      <c r="D387" s="37"/>
    </row>
    <row r="388" spans="3:4" x14ac:dyDescent="0.2">
      <c r="C388" s="37"/>
      <c r="D388" s="37"/>
    </row>
    <row r="389" spans="3:4" x14ac:dyDescent="0.2">
      <c r="C389" s="37"/>
      <c r="D389" s="37"/>
    </row>
    <row r="390" spans="3:4" x14ac:dyDescent="0.2">
      <c r="C390" s="37"/>
      <c r="D390" s="37"/>
    </row>
    <row r="391" spans="3:4" x14ac:dyDescent="0.2">
      <c r="C391" s="37"/>
      <c r="D391" s="37"/>
    </row>
    <row r="392" spans="3:4" x14ac:dyDescent="0.2">
      <c r="C392" s="37"/>
      <c r="D392" s="37"/>
    </row>
    <row r="393" spans="3:4" x14ac:dyDescent="0.2">
      <c r="C393" s="37"/>
      <c r="D393" s="37"/>
    </row>
    <row r="394" spans="3:4" x14ac:dyDescent="0.2">
      <c r="C394" s="37"/>
      <c r="D394" s="37"/>
    </row>
    <row r="395" spans="3:4" x14ac:dyDescent="0.2">
      <c r="C395" s="37"/>
      <c r="D395" s="37"/>
    </row>
    <row r="396" spans="3:4" x14ac:dyDescent="0.2">
      <c r="C396" s="37"/>
      <c r="D396" s="37"/>
    </row>
    <row r="397" spans="3:4" x14ac:dyDescent="0.2">
      <c r="C397" s="37"/>
      <c r="D397" s="37"/>
    </row>
    <row r="398" spans="3:4" x14ac:dyDescent="0.2">
      <c r="C398" s="37"/>
      <c r="D398" s="37"/>
    </row>
    <row r="399" spans="3:4" x14ac:dyDescent="0.2">
      <c r="C399" s="37"/>
      <c r="D399" s="37"/>
    </row>
    <row r="400" spans="3:4" x14ac:dyDescent="0.2">
      <c r="C400" s="37"/>
      <c r="D400" s="37"/>
    </row>
    <row r="401" spans="3:4" x14ac:dyDescent="0.2">
      <c r="C401" s="37"/>
      <c r="D401" s="37"/>
    </row>
    <row r="402" spans="3:4" x14ac:dyDescent="0.2">
      <c r="C402" s="37"/>
      <c r="D402" s="37"/>
    </row>
    <row r="403" spans="3:4" x14ac:dyDescent="0.2">
      <c r="C403" s="37"/>
      <c r="D403" s="37"/>
    </row>
    <row r="404" spans="3:4" x14ac:dyDescent="0.2">
      <c r="C404" s="37"/>
      <c r="D404" s="37"/>
    </row>
    <row r="405" spans="3:4" x14ac:dyDescent="0.2">
      <c r="C405" s="37"/>
      <c r="D405" s="37"/>
    </row>
    <row r="406" spans="3:4" x14ac:dyDescent="0.2">
      <c r="C406" s="37"/>
      <c r="D406" s="37"/>
    </row>
    <row r="407" spans="3:4" x14ac:dyDescent="0.2">
      <c r="C407" s="37"/>
      <c r="D407" s="37"/>
    </row>
    <row r="408" spans="3:4" x14ac:dyDescent="0.2">
      <c r="C408" s="37"/>
      <c r="D408" s="37"/>
    </row>
    <row r="409" spans="3:4" x14ac:dyDescent="0.2">
      <c r="C409" s="37"/>
      <c r="D409" s="37"/>
    </row>
    <row r="410" spans="3:4" x14ac:dyDescent="0.2">
      <c r="C410" s="37"/>
      <c r="D410" s="37"/>
    </row>
    <row r="411" spans="3:4" x14ac:dyDescent="0.2">
      <c r="C411" s="37"/>
      <c r="D411" s="37"/>
    </row>
    <row r="412" spans="3:4" x14ac:dyDescent="0.2">
      <c r="C412" s="37"/>
      <c r="D412" s="37"/>
    </row>
    <row r="413" spans="3:4" x14ac:dyDescent="0.2">
      <c r="C413" s="37"/>
      <c r="D413" s="37"/>
    </row>
    <row r="414" spans="3:4" x14ac:dyDescent="0.2">
      <c r="C414" s="37"/>
      <c r="D414" s="37"/>
    </row>
    <row r="415" spans="3:4" x14ac:dyDescent="0.2">
      <c r="C415" s="37"/>
      <c r="D415" s="37"/>
    </row>
    <row r="416" spans="3:4" x14ac:dyDescent="0.2">
      <c r="C416" s="37"/>
      <c r="D416" s="37"/>
    </row>
    <row r="417" spans="3:4" x14ac:dyDescent="0.2">
      <c r="C417" s="37"/>
      <c r="D417" s="37"/>
    </row>
    <row r="418" spans="3:4" x14ac:dyDescent="0.2">
      <c r="C418" s="37"/>
      <c r="D418" s="37"/>
    </row>
    <row r="419" spans="3:4" x14ac:dyDescent="0.2">
      <c r="C419" s="37"/>
      <c r="D419" s="37"/>
    </row>
    <row r="420" spans="3:4" x14ac:dyDescent="0.2">
      <c r="C420" s="37"/>
      <c r="D420" s="37"/>
    </row>
    <row r="421" spans="3:4" x14ac:dyDescent="0.2">
      <c r="C421" s="37"/>
      <c r="D421" s="37"/>
    </row>
    <row r="422" spans="3:4" x14ac:dyDescent="0.2">
      <c r="C422" s="37"/>
      <c r="D422" s="37"/>
    </row>
    <row r="423" spans="3:4" x14ac:dyDescent="0.2">
      <c r="C423" s="37"/>
      <c r="D423" s="37"/>
    </row>
    <row r="424" spans="3:4" x14ac:dyDescent="0.2">
      <c r="C424" s="37"/>
      <c r="D424" s="37"/>
    </row>
    <row r="425" spans="3:4" x14ac:dyDescent="0.2">
      <c r="C425" s="37"/>
      <c r="D425" s="37"/>
    </row>
    <row r="426" spans="3:4" x14ac:dyDescent="0.2">
      <c r="C426" s="37"/>
      <c r="D426" s="37"/>
    </row>
    <row r="427" spans="3:4" x14ac:dyDescent="0.2">
      <c r="C427" s="37"/>
      <c r="D427" s="37"/>
    </row>
    <row r="428" spans="3:4" x14ac:dyDescent="0.2">
      <c r="C428" s="37"/>
      <c r="D428" s="37"/>
    </row>
    <row r="429" spans="3:4" x14ac:dyDescent="0.2">
      <c r="C429" s="37"/>
      <c r="D429" s="37"/>
    </row>
    <row r="430" spans="3:4" x14ac:dyDescent="0.2">
      <c r="C430" s="37"/>
      <c r="D430" s="37"/>
    </row>
    <row r="431" spans="3:4" x14ac:dyDescent="0.2">
      <c r="C431" s="37"/>
      <c r="D431" s="37"/>
    </row>
    <row r="432" spans="3:4" x14ac:dyDescent="0.2">
      <c r="C432" s="37"/>
      <c r="D432" s="37"/>
    </row>
    <row r="433" spans="3:4" x14ac:dyDescent="0.2">
      <c r="C433" s="37"/>
      <c r="D433" s="37"/>
    </row>
    <row r="434" spans="3:4" x14ac:dyDescent="0.2">
      <c r="C434" s="37"/>
      <c r="D434" s="37"/>
    </row>
    <row r="435" spans="3:4" x14ac:dyDescent="0.2">
      <c r="C435" s="37"/>
      <c r="D435" s="37"/>
    </row>
    <row r="436" spans="3:4" x14ac:dyDescent="0.2">
      <c r="C436" s="37"/>
      <c r="D436" s="37"/>
    </row>
    <row r="437" spans="3:4" x14ac:dyDescent="0.2">
      <c r="C437" s="37"/>
      <c r="D437" s="37"/>
    </row>
    <row r="438" spans="3:4" x14ac:dyDescent="0.2">
      <c r="C438" s="37"/>
      <c r="D438" s="37"/>
    </row>
    <row r="439" spans="3:4" x14ac:dyDescent="0.2">
      <c r="C439" s="37"/>
      <c r="D439" s="37"/>
    </row>
    <row r="440" spans="3:4" x14ac:dyDescent="0.2">
      <c r="C440" s="37"/>
      <c r="D440" s="37"/>
    </row>
    <row r="441" spans="3:4" x14ac:dyDescent="0.2">
      <c r="C441" s="37"/>
      <c r="D441" s="37"/>
    </row>
    <row r="442" spans="3:4" x14ac:dyDescent="0.2">
      <c r="C442" s="37"/>
      <c r="D442" s="37"/>
    </row>
    <row r="443" spans="3:4" x14ac:dyDescent="0.2">
      <c r="C443" s="37"/>
      <c r="D443" s="37"/>
    </row>
    <row r="444" spans="3:4" x14ac:dyDescent="0.2">
      <c r="C444" s="37"/>
      <c r="D444" s="37"/>
    </row>
    <row r="445" spans="3:4" x14ac:dyDescent="0.2">
      <c r="C445" s="37"/>
      <c r="D445" s="37"/>
    </row>
    <row r="446" spans="3:4" x14ac:dyDescent="0.2">
      <c r="C446" s="37"/>
      <c r="D446" s="37"/>
    </row>
    <row r="447" spans="3:4" x14ac:dyDescent="0.2">
      <c r="C447" s="37"/>
      <c r="D447" s="37"/>
    </row>
    <row r="448" spans="3:4" x14ac:dyDescent="0.2">
      <c r="C448" s="37"/>
      <c r="D448" s="37"/>
    </row>
    <row r="449" spans="3:4" x14ac:dyDescent="0.2">
      <c r="C449" s="37"/>
      <c r="D449" s="37"/>
    </row>
    <row r="450" spans="3:4" x14ac:dyDescent="0.2">
      <c r="C450" s="37"/>
      <c r="D450" s="37"/>
    </row>
    <row r="451" spans="3:4" x14ac:dyDescent="0.2">
      <c r="C451" s="37"/>
      <c r="D451" s="37"/>
    </row>
    <row r="452" spans="3:4" x14ac:dyDescent="0.2">
      <c r="C452" s="37"/>
      <c r="D452" s="37"/>
    </row>
    <row r="453" spans="3:4" x14ac:dyDescent="0.2">
      <c r="C453" s="37"/>
      <c r="D453" s="37"/>
    </row>
    <row r="454" spans="3:4" x14ac:dyDescent="0.2">
      <c r="C454" s="37"/>
      <c r="D454" s="37"/>
    </row>
    <row r="455" spans="3:4" x14ac:dyDescent="0.2">
      <c r="C455" s="37"/>
      <c r="D455" s="37"/>
    </row>
    <row r="456" spans="3:4" x14ac:dyDescent="0.2">
      <c r="C456" s="37"/>
      <c r="D456" s="37"/>
    </row>
    <row r="457" spans="3:4" x14ac:dyDescent="0.2">
      <c r="C457" s="37"/>
      <c r="D457" s="37"/>
    </row>
    <row r="458" spans="3:4" x14ac:dyDescent="0.2">
      <c r="C458" s="37"/>
      <c r="D458" s="37"/>
    </row>
    <row r="459" spans="3:4" x14ac:dyDescent="0.2">
      <c r="C459" s="37"/>
      <c r="D459" s="37"/>
    </row>
    <row r="460" spans="3:4" x14ac:dyDescent="0.2">
      <c r="C460" s="37"/>
      <c r="D460" s="37"/>
    </row>
    <row r="461" spans="3:4" x14ac:dyDescent="0.2">
      <c r="C461" s="37"/>
      <c r="D461" s="37"/>
    </row>
    <row r="462" spans="3:4" x14ac:dyDescent="0.2">
      <c r="C462" s="37"/>
      <c r="D462" s="37"/>
    </row>
    <row r="463" spans="3:4" x14ac:dyDescent="0.2">
      <c r="C463" s="37"/>
      <c r="D463" s="37"/>
    </row>
    <row r="464" spans="3:4" x14ac:dyDescent="0.2">
      <c r="C464" s="37"/>
      <c r="D464" s="37"/>
    </row>
    <row r="465" spans="3:4" x14ac:dyDescent="0.2">
      <c r="C465" s="37"/>
      <c r="D465" s="37"/>
    </row>
    <row r="466" spans="3:4" x14ac:dyDescent="0.2">
      <c r="C466" s="37"/>
      <c r="D466" s="3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9"/>
  <sheetViews>
    <sheetView topLeftCell="A2" workbookViewId="0">
      <selection activeCell="A24" sqref="A24:D37"/>
    </sheetView>
  </sheetViews>
  <sheetFormatPr defaultRowHeight="12.75" x14ac:dyDescent="0.2"/>
  <cols>
    <col min="1" max="1" width="19.7109375" style="37" customWidth="1"/>
    <col min="2" max="2" width="4.42578125" style="25" customWidth="1"/>
    <col min="3" max="3" width="12.7109375" style="37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37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 x14ac:dyDescent="0.25">
      <c r="A1" s="57" t="s">
        <v>58</v>
      </c>
      <c r="I1" s="58" t="s">
        <v>59</v>
      </c>
      <c r="J1" s="59" t="s">
        <v>53</v>
      </c>
    </row>
    <row r="2" spans="1:16" x14ac:dyDescent="0.2">
      <c r="I2" s="60" t="s">
        <v>60</v>
      </c>
      <c r="J2" s="61" t="s">
        <v>61</v>
      </c>
    </row>
    <row r="3" spans="1:16" x14ac:dyDescent="0.2">
      <c r="A3" s="62" t="s">
        <v>62</v>
      </c>
      <c r="I3" s="60" t="s">
        <v>63</v>
      </c>
      <c r="J3" s="61" t="s">
        <v>64</v>
      </c>
    </row>
    <row r="4" spans="1:16" x14ac:dyDescent="0.2">
      <c r="I4" s="60" t="s">
        <v>65</v>
      </c>
      <c r="J4" s="61" t="s">
        <v>64</v>
      </c>
    </row>
    <row r="5" spans="1:16" ht="13.5" thickBot="1" x14ac:dyDescent="0.25">
      <c r="I5" s="63" t="s">
        <v>66</v>
      </c>
      <c r="J5" s="64" t="s">
        <v>67</v>
      </c>
    </row>
    <row r="10" spans="1:16" ht="13.5" thickBot="1" x14ac:dyDescent="0.25"/>
    <row r="11" spans="1:16" ht="12.75" customHeight="1" thickBot="1" x14ac:dyDescent="0.25">
      <c r="A11" s="37" t="str">
        <f t="shared" ref="A11:A37" si="0">P11</f>
        <v> VSS 4.157 </v>
      </c>
      <c r="B11" s="6" t="str">
        <f t="shared" ref="B11:B37" si="1">IF(H11=INT(H11),"I","II")</f>
        <v>I</v>
      </c>
      <c r="C11" s="37">
        <f t="shared" ref="C11:C37" si="2">1*G11</f>
        <v>29456.511999999999</v>
      </c>
      <c r="D11" s="25" t="str">
        <f t="shared" ref="D11:D37" si="3">VLOOKUP(F11,I$1:J$5,2,FALSE)</f>
        <v>vis</v>
      </c>
      <c r="E11" s="65">
        <f>VLOOKUP(C11,Active!C$21:E$973,3,FALSE)</f>
        <v>-25862.91877210364</v>
      </c>
      <c r="F11" s="6" t="s">
        <v>66</v>
      </c>
      <c r="G11" s="25" t="str">
        <f t="shared" ref="G11:G37" si="4">MID(I11,3,LEN(I11)-3)</f>
        <v>29456.512</v>
      </c>
      <c r="H11" s="37">
        <f t="shared" ref="H11:H37" si="5">1*K11</f>
        <v>0</v>
      </c>
      <c r="I11" s="66" t="s">
        <v>83</v>
      </c>
      <c r="J11" s="67" t="s">
        <v>84</v>
      </c>
      <c r="K11" s="66">
        <v>0</v>
      </c>
      <c r="L11" s="66" t="s">
        <v>85</v>
      </c>
      <c r="M11" s="67" t="s">
        <v>71</v>
      </c>
      <c r="N11" s="67"/>
      <c r="O11" s="68" t="s">
        <v>72</v>
      </c>
      <c r="P11" s="68" t="s">
        <v>73</v>
      </c>
    </row>
    <row r="12" spans="1:16" ht="12.75" customHeight="1" thickBot="1" x14ac:dyDescent="0.25">
      <c r="A12" s="37" t="str">
        <f t="shared" si="0"/>
        <v>BAVM 117 </v>
      </c>
      <c r="B12" s="6" t="str">
        <f t="shared" si="1"/>
        <v>I</v>
      </c>
      <c r="C12" s="37">
        <f t="shared" si="2"/>
        <v>50000.4614</v>
      </c>
      <c r="D12" s="25" t="str">
        <f t="shared" si="3"/>
        <v>vis</v>
      </c>
      <c r="E12" s="65">
        <f>VLOOKUP(C12,Active!C$21:E$973,3,FALSE)</f>
        <v>0</v>
      </c>
      <c r="F12" s="6" t="s">
        <v>66</v>
      </c>
      <c r="G12" s="25" t="str">
        <f t="shared" si="4"/>
        <v>50000.4614</v>
      </c>
      <c r="H12" s="37">
        <f t="shared" si="5"/>
        <v>27005</v>
      </c>
      <c r="I12" s="66" t="s">
        <v>107</v>
      </c>
      <c r="J12" s="67" t="s">
        <v>108</v>
      </c>
      <c r="K12" s="66">
        <v>27005</v>
      </c>
      <c r="L12" s="66" t="s">
        <v>109</v>
      </c>
      <c r="M12" s="67" t="s">
        <v>103</v>
      </c>
      <c r="N12" s="67" t="s">
        <v>104</v>
      </c>
      <c r="O12" s="68" t="s">
        <v>105</v>
      </c>
      <c r="P12" s="69" t="s">
        <v>110</v>
      </c>
    </row>
    <row r="13" spans="1:16" ht="12.75" customHeight="1" thickBot="1" x14ac:dyDescent="0.25">
      <c r="A13" s="37" t="str">
        <f t="shared" si="0"/>
        <v>IBVS 4887 </v>
      </c>
      <c r="B13" s="6" t="str">
        <f t="shared" si="1"/>
        <v>I</v>
      </c>
      <c r="C13" s="37">
        <f t="shared" si="2"/>
        <v>50773.347500000003</v>
      </c>
      <c r="D13" s="25" t="str">
        <f t="shared" si="3"/>
        <v>vis</v>
      </c>
      <c r="E13" s="65">
        <f>VLOOKUP(C13,Active!C$21:E$973,3,FALSE)</f>
        <v>972.99161106715223</v>
      </c>
      <c r="F13" s="6" t="s">
        <v>66</v>
      </c>
      <c r="G13" s="25" t="str">
        <f t="shared" si="4"/>
        <v>50773.3475</v>
      </c>
      <c r="H13" s="37">
        <f t="shared" si="5"/>
        <v>28021</v>
      </c>
      <c r="I13" s="66" t="s">
        <v>111</v>
      </c>
      <c r="J13" s="67" t="s">
        <v>112</v>
      </c>
      <c r="K13" s="66">
        <v>28021</v>
      </c>
      <c r="L13" s="66" t="s">
        <v>113</v>
      </c>
      <c r="M13" s="67" t="s">
        <v>103</v>
      </c>
      <c r="N13" s="67" t="s">
        <v>114</v>
      </c>
      <c r="O13" s="68" t="s">
        <v>115</v>
      </c>
      <c r="P13" s="69" t="s">
        <v>116</v>
      </c>
    </row>
    <row r="14" spans="1:16" ht="12.75" customHeight="1" thickBot="1" x14ac:dyDescent="0.25">
      <c r="A14" s="37" t="str">
        <f t="shared" si="0"/>
        <v>BAVM 117 </v>
      </c>
      <c r="B14" s="6" t="str">
        <f t="shared" si="1"/>
        <v>I</v>
      </c>
      <c r="C14" s="37">
        <f t="shared" si="2"/>
        <v>51043.423499999997</v>
      </c>
      <c r="D14" s="25" t="str">
        <f t="shared" si="3"/>
        <v>vis</v>
      </c>
      <c r="E14" s="65">
        <f>VLOOKUP(C14,Active!C$21:E$973,3,FALSE)</f>
        <v>1312.9921394122277</v>
      </c>
      <c r="F14" s="6" t="s">
        <v>66</v>
      </c>
      <c r="G14" s="25" t="str">
        <f t="shared" si="4"/>
        <v>51043.4235</v>
      </c>
      <c r="H14" s="37">
        <f t="shared" si="5"/>
        <v>28376</v>
      </c>
      <c r="I14" s="66" t="s">
        <v>117</v>
      </c>
      <c r="J14" s="67" t="s">
        <v>118</v>
      </c>
      <c r="K14" s="66">
        <v>28376</v>
      </c>
      <c r="L14" s="66" t="s">
        <v>119</v>
      </c>
      <c r="M14" s="67" t="s">
        <v>103</v>
      </c>
      <c r="N14" s="67" t="s">
        <v>104</v>
      </c>
      <c r="O14" s="68" t="s">
        <v>105</v>
      </c>
      <c r="P14" s="69" t="s">
        <v>110</v>
      </c>
    </row>
    <row r="15" spans="1:16" ht="12.75" customHeight="1" thickBot="1" x14ac:dyDescent="0.25">
      <c r="A15" s="37" t="str">
        <f t="shared" si="0"/>
        <v>BAVM 132 </v>
      </c>
      <c r="B15" s="6" t="str">
        <f t="shared" si="1"/>
        <v>II</v>
      </c>
      <c r="C15" s="37">
        <f t="shared" si="2"/>
        <v>51468.401299999998</v>
      </c>
      <c r="D15" s="25" t="str">
        <f t="shared" si="3"/>
        <v>vis</v>
      </c>
      <c r="E15" s="65">
        <f>VLOOKUP(C15,Active!C$21:E$973,3,FALSE)</f>
        <v>1847.9996059584275</v>
      </c>
      <c r="F15" s="6" t="s">
        <v>66</v>
      </c>
      <c r="G15" s="25" t="str">
        <f t="shared" si="4"/>
        <v>51468.4013</v>
      </c>
      <c r="H15" s="37">
        <f t="shared" si="5"/>
        <v>28934.5</v>
      </c>
      <c r="I15" s="66" t="s">
        <v>120</v>
      </c>
      <c r="J15" s="67" t="s">
        <v>121</v>
      </c>
      <c r="K15" s="66">
        <v>28934.5</v>
      </c>
      <c r="L15" s="66" t="s">
        <v>122</v>
      </c>
      <c r="M15" s="67" t="s">
        <v>103</v>
      </c>
      <c r="N15" s="67" t="s">
        <v>104</v>
      </c>
      <c r="O15" s="68" t="s">
        <v>105</v>
      </c>
      <c r="P15" s="69" t="s">
        <v>123</v>
      </c>
    </row>
    <row r="16" spans="1:16" ht="12.75" customHeight="1" thickBot="1" x14ac:dyDescent="0.25">
      <c r="A16" s="37" t="str">
        <f t="shared" si="0"/>
        <v>BAVM 152 </v>
      </c>
      <c r="B16" s="6" t="str">
        <f t="shared" si="1"/>
        <v>II</v>
      </c>
      <c r="C16" s="37">
        <f t="shared" si="2"/>
        <v>51773.427600000003</v>
      </c>
      <c r="D16" s="25" t="str">
        <f t="shared" si="3"/>
        <v>vis</v>
      </c>
      <c r="E16" s="65">
        <f>VLOOKUP(C16,Active!C$21:E$973,3,FALSE)</f>
        <v>2231.9993066321181</v>
      </c>
      <c r="F16" s="6" t="s">
        <v>66</v>
      </c>
      <c r="G16" s="25" t="str">
        <f t="shared" si="4"/>
        <v>51773.4276</v>
      </c>
      <c r="H16" s="37">
        <f t="shared" si="5"/>
        <v>29335.5</v>
      </c>
      <c r="I16" s="66" t="s">
        <v>124</v>
      </c>
      <c r="J16" s="67" t="s">
        <v>125</v>
      </c>
      <c r="K16" s="66">
        <v>29335.5</v>
      </c>
      <c r="L16" s="66" t="s">
        <v>126</v>
      </c>
      <c r="M16" s="67" t="s">
        <v>103</v>
      </c>
      <c r="N16" s="67" t="s">
        <v>104</v>
      </c>
      <c r="O16" s="68" t="s">
        <v>105</v>
      </c>
      <c r="P16" s="69" t="s">
        <v>127</v>
      </c>
    </row>
    <row r="17" spans="1:16" ht="12.75" customHeight="1" thickBot="1" x14ac:dyDescent="0.25">
      <c r="A17" s="37" t="str">
        <f t="shared" si="0"/>
        <v>BAVM 152 </v>
      </c>
      <c r="B17" s="6" t="str">
        <f t="shared" si="1"/>
        <v>II</v>
      </c>
      <c r="C17" s="37">
        <f t="shared" si="2"/>
        <v>51812.347099999999</v>
      </c>
      <c r="D17" s="25" t="str">
        <f t="shared" si="3"/>
        <v>vis</v>
      </c>
      <c r="E17" s="65">
        <f>VLOOKUP(C17,Active!C$21:E$973,3,FALSE)</f>
        <v>2280.9953320580175</v>
      </c>
      <c r="F17" s="6" t="s">
        <v>66</v>
      </c>
      <c r="G17" s="25" t="str">
        <f t="shared" si="4"/>
        <v>51812.3471</v>
      </c>
      <c r="H17" s="37">
        <f t="shared" si="5"/>
        <v>29386.5</v>
      </c>
      <c r="I17" s="66" t="s">
        <v>128</v>
      </c>
      <c r="J17" s="67" t="s">
        <v>129</v>
      </c>
      <c r="K17" s="66">
        <v>29386.5</v>
      </c>
      <c r="L17" s="66" t="s">
        <v>130</v>
      </c>
      <c r="M17" s="67" t="s">
        <v>103</v>
      </c>
      <c r="N17" s="67" t="s">
        <v>104</v>
      </c>
      <c r="O17" s="68" t="s">
        <v>105</v>
      </c>
      <c r="P17" s="69" t="s">
        <v>127</v>
      </c>
    </row>
    <row r="18" spans="1:16" ht="12.75" customHeight="1" thickBot="1" x14ac:dyDescent="0.25">
      <c r="A18" s="37" t="str">
        <f t="shared" si="0"/>
        <v>BAVM 172 </v>
      </c>
      <c r="B18" s="6" t="str">
        <f t="shared" si="1"/>
        <v>I</v>
      </c>
      <c r="C18" s="37">
        <f t="shared" si="2"/>
        <v>51834.5965</v>
      </c>
      <c r="D18" s="25" t="str">
        <f t="shared" si="3"/>
        <v>vis</v>
      </c>
      <c r="E18" s="65">
        <f>VLOOKUP(C18,Active!C$21:E$973,3,FALSE)</f>
        <v>2309.0052542849512</v>
      </c>
      <c r="F18" s="6" t="s">
        <v>66</v>
      </c>
      <c r="G18" s="25" t="str">
        <f t="shared" si="4"/>
        <v>51834.5965</v>
      </c>
      <c r="H18" s="37">
        <f t="shared" si="5"/>
        <v>29416</v>
      </c>
      <c r="I18" s="66" t="s">
        <v>131</v>
      </c>
      <c r="J18" s="67" t="s">
        <v>132</v>
      </c>
      <c r="K18" s="66">
        <v>29416</v>
      </c>
      <c r="L18" s="66" t="s">
        <v>133</v>
      </c>
      <c r="M18" s="67" t="s">
        <v>103</v>
      </c>
      <c r="N18" s="67" t="s">
        <v>104</v>
      </c>
      <c r="O18" s="68" t="s">
        <v>134</v>
      </c>
      <c r="P18" s="69" t="s">
        <v>135</v>
      </c>
    </row>
    <row r="19" spans="1:16" ht="12.75" customHeight="1" thickBot="1" x14ac:dyDescent="0.25">
      <c r="A19" s="37" t="str">
        <f t="shared" si="0"/>
        <v>BAVM 152 </v>
      </c>
      <c r="B19" s="6" t="str">
        <f t="shared" si="1"/>
        <v>II</v>
      </c>
      <c r="C19" s="37">
        <f t="shared" si="2"/>
        <v>52120.550799999997</v>
      </c>
      <c r="D19" s="25" t="str">
        <f t="shared" si="3"/>
        <v>vis</v>
      </c>
      <c r="E19" s="65">
        <f>VLOOKUP(C19,Active!C$21:E$973,3,FALSE)</f>
        <v>2668.995083379531</v>
      </c>
      <c r="F19" s="6" t="s">
        <v>66</v>
      </c>
      <c r="G19" s="25" t="str">
        <f t="shared" si="4"/>
        <v>52120.5508</v>
      </c>
      <c r="H19" s="37">
        <f t="shared" si="5"/>
        <v>29791.5</v>
      </c>
      <c r="I19" s="66" t="s">
        <v>136</v>
      </c>
      <c r="J19" s="67" t="s">
        <v>137</v>
      </c>
      <c r="K19" s="66">
        <v>29791.5</v>
      </c>
      <c r="L19" s="66" t="s">
        <v>138</v>
      </c>
      <c r="M19" s="67" t="s">
        <v>103</v>
      </c>
      <c r="N19" s="67" t="s">
        <v>104</v>
      </c>
      <c r="O19" s="68" t="s">
        <v>139</v>
      </c>
      <c r="P19" s="69" t="s">
        <v>127</v>
      </c>
    </row>
    <row r="20" spans="1:16" ht="12.75" customHeight="1" thickBot="1" x14ac:dyDescent="0.25">
      <c r="A20" s="37" t="str">
        <f t="shared" si="0"/>
        <v>IBVS 5371 </v>
      </c>
      <c r="B20" s="6" t="str">
        <f t="shared" si="1"/>
        <v>I</v>
      </c>
      <c r="C20" s="37">
        <f t="shared" si="2"/>
        <v>52563.791599999997</v>
      </c>
      <c r="D20" s="25" t="str">
        <f t="shared" si="3"/>
        <v>vis</v>
      </c>
      <c r="E20" s="65">
        <f>VLOOKUP(C20,Active!C$21:E$973,3,FALSE)</f>
        <v>3226.9939658574162</v>
      </c>
      <c r="F20" s="6" t="s">
        <v>66</v>
      </c>
      <c r="G20" s="25" t="str">
        <f t="shared" si="4"/>
        <v>52563.7916</v>
      </c>
      <c r="H20" s="37">
        <f t="shared" si="5"/>
        <v>30374</v>
      </c>
      <c r="I20" s="66" t="s">
        <v>140</v>
      </c>
      <c r="J20" s="67" t="s">
        <v>141</v>
      </c>
      <c r="K20" s="66">
        <v>30374</v>
      </c>
      <c r="L20" s="66" t="s">
        <v>142</v>
      </c>
      <c r="M20" s="67" t="s">
        <v>103</v>
      </c>
      <c r="N20" s="67" t="s">
        <v>114</v>
      </c>
      <c r="O20" s="68" t="s">
        <v>143</v>
      </c>
      <c r="P20" s="69" t="s">
        <v>144</v>
      </c>
    </row>
    <row r="21" spans="1:16" ht="12.75" customHeight="1" thickBot="1" x14ac:dyDescent="0.25">
      <c r="A21" s="37" t="str">
        <f t="shared" si="0"/>
        <v>OEJV 0074 </v>
      </c>
      <c r="B21" s="6" t="str">
        <f t="shared" si="1"/>
        <v>II</v>
      </c>
      <c r="C21" s="37">
        <f t="shared" si="2"/>
        <v>52858.49005</v>
      </c>
      <c r="D21" s="25" t="str">
        <f t="shared" si="3"/>
        <v>vis</v>
      </c>
      <c r="E21" s="65">
        <f>VLOOKUP(C21,Active!C$21:E$973,3,FALSE)</f>
        <v>3597.9918653467394</v>
      </c>
      <c r="F21" s="6" t="s">
        <v>66</v>
      </c>
      <c r="G21" s="25" t="str">
        <f t="shared" si="4"/>
        <v>52858.49005</v>
      </c>
      <c r="H21" s="37">
        <f t="shared" si="5"/>
        <v>30761.5</v>
      </c>
      <c r="I21" s="66" t="s">
        <v>145</v>
      </c>
      <c r="J21" s="67" t="s">
        <v>146</v>
      </c>
      <c r="K21" s="66">
        <v>30761.5</v>
      </c>
      <c r="L21" s="66" t="s">
        <v>147</v>
      </c>
      <c r="M21" s="67" t="s">
        <v>148</v>
      </c>
      <c r="N21" s="67" t="s">
        <v>104</v>
      </c>
      <c r="O21" s="68" t="s">
        <v>149</v>
      </c>
      <c r="P21" s="69" t="s">
        <v>150</v>
      </c>
    </row>
    <row r="22" spans="1:16" ht="12.75" customHeight="1" thickBot="1" x14ac:dyDescent="0.25">
      <c r="A22" s="37" t="str">
        <f t="shared" si="0"/>
        <v>BAVM 183 </v>
      </c>
      <c r="B22" s="6" t="str">
        <f t="shared" si="1"/>
        <v>I</v>
      </c>
      <c r="C22" s="37">
        <f t="shared" si="2"/>
        <v>54017.438099999999</v>
      </c>
      <c r="D22" s="25" t="str">
        <f t="shared" si="3"/>
        <v>vis</v>
      </c>
      <c r="E22" s="65">
        <f>VLOOKUP(C22,Active!C$21:E$973,3,FALSE)</f>
        <v>5056.9995125442092</v>
      </c>
      <c r="F22" s="6" t="s">
        <v>66</v>
      </c>
      <c r="G22" s="25" t="str">
        <f t="shared" si="4"/>
        <v>54017.4381</v>
      </c>
      <c r="H22" s="37">
        <f t="shared" si="5"/>
        <v>32285</v>
      </c>
      <c r="I22" s="66" t="s">
        <v>151</v>
      </c>
      <c r="J22" s="67" t="s">
        <v>152</v>
      </c>
      <c r="K22" s="66">
        <v>32285</v>
      </c>
      <c r="L22" s="66" t="s">
        <v>153</v>
      </c>
      <c r="M22" s="67" t="s">
        <v>148</v>
      </c>
      <c r="N22" s="67" t="s">
        <v>154</v>
      </c>
      <c r="O22" s="68" t="s">
        <v>155</v>
      </c>
      <c r="P22" s="69" t="s">
        <v>156</v>
      </c>
    </row>
    <row r="23" spans="1:16" ht="12.75" customHeight="1" thickBot="1" x14ac:dyDescent="0.25">
      <c r="A23" s="37" t="str">
        <f t="shared" si="0"/>
        <v>IBVS 5960 </v>
      </c>
      <c r="B23" s="6" t="str">
        <f t="shared" si="1"/>
        <v>I</v>
      </c>
      <c r="C23" s="37">
        <f t="shared" si="2"/>
        <v>55511.583100000003</v>
      </c>
      <c r="D23" s="25" t="str">
        <f t="shared" si="3"/>
        <v>vis</v>
      </c>
      <c r="E23" s="65">
        <f>VLOOKUP(C23,Active!C$21:E$973,3,FALSE)</f>
        <v>6937.9888985843099</v>
      </c>
      <c r="F23" s="6" t="s">
        <v>66</v>
      </c>
      <c r="G23" s="25" t="str">
        <f t="shared" si="4"/>
        <v>55511.5831</v>
      </c>
      <c r="H23" s="37">
        <f t="shared" si="5"/>
        <v>34249</v>
      </c>
      <c r="I23" s="66" t="s">
        <v>168</v>
      </c>
      <c r="J23" s="67" t="s">
        <v>169</v>
      </c>
      <c r="K23" s="66" t="s">
        <v>170</v>
      </c>
      <c r="L23" s="66" t="s">
        <v>171</v>
      </c>
      <c r="M23" s="67" t="s">
        <v>148</v>
      </c>
      <c r="N23" s="67" t="s">
        <v>66</v>
      </c>
      <c r="O23" s="68" t="s">
        <v>172</v>
      </c>
      <c r="P23" s="69" t="s">
        <v>173</v>
      </c>
    </row>
    <row r="24" spans="1:16" ht="12.75" customHeight="1" thickBot="1" x14ac:dyDescent="0.25">
      <c r="A24" s="37" t="str">
        <f t="shared" si="0"/>
        <v> VSS 4.157 </v>
      </c>
      <c r="B24" s="6" t="str">
        <f t="shared" si="1"/>
        <v>II</v>
      </c>
      <c r="C24" s="37">
        <f t="shared" si="2"/>
        <v>27960.510999999999</v>
      </c>
      <c r="D24" s="25" t="str">
        <f t="shared" si="3"/>
        <v>vis</v>
      </c>
      <c r="E24" s="65">
        <f>VLOOKUP(C24,Active!C$21:E$973,3,FALSE)</f>
        <v>-27746.244689270559</v>
      </c>
      <c r="F24" s="6" t="s">
        <v>66</v>
      </c>
      <c r="G24" s="25" t="str">
        <f t="shared" si="4"/>
        <v>27960.511</v>
      </c>
      <c r="H24" s="37">
        <f t="shared" si="5"/>
        <v>-1966.5</v>
      </c>
      <c r="I24" s="66" t="s">
        <v>68</v>
      </c>
      <c r="J24" s="67" t="s">
        <v>69</v>
      </c>
      <c r="K24" s="66">
        <v>-1966.5</v>
      </c>
      <c r="L24" s="66" t="s">
        <v>70</v>
      </c>
      <c r="M24" s="67" t="s">
        <v>71</v>
      </c>
      <c r="N24" s="67"/>
      <c r="O24" s="68" t="s">
        <v>72</v>
      </c>
      <c r="P24" s="68" t="s">
        <v>73</v>
      </c>
    </row>
    <row r="25" spans="1:16" ht="12.75" customHeight="1" thickBot="1" x14ac:dyDescent="0.25">
      <c r="A25" s="37" t="str">
        <f t="shared" si="0"/>
        <v> VSS 4.157 </v>
      </c>
      <c r="B25" s="6" t="str">
        <f t="shared" si="1"/>
        <v>I</v>
      </c>
      <c r="C25" s="37">
        <f t="shared" si="2"/>
        <v>28487.35</v>
      </c>
      <c r="D25" s="25" t="str">
        <f t="shared" si="3"/>
        <v>vis</v>
      </c>
      <c r="E25" s="65">
        <f>VLOOKUP(C25,Active!C$21:E$973,3,FALSE)</f>
        <v>-27083.003459569307</v>
      </c>
      <c r="F25" s="6" t="s">
        <v>66</v>
      </c>
      <c r="G25" s="25" t="str">
        <f t="shared" si="4"/>
        <v>28487.350</v>
      </c>
      <c r="H25" s="37">
        <f t="shared" si="5"/>
        <v>-1274</v>
      </c>
      <c r="I25" s="66" t="s">
        <v>74</v>
      </c>
      <c r="J25" s="67" t="s">
        <v>75</v>
      </c>
      <c r="K25" s="66">
        <v>-1274</v>
      </c>
      <c r="L25" s="66" t="s">
        <v>76</v>
      </c>
      <c r="M25" s="67" t="s">
        <v>71</v>
      </c>
      <c r="N25" s="67"/>
      <c r="O25" s="68" t="s">
        <v>72</v>
      </c>
      <c r="P25" s="68" t="s">
        <v>73</v>
      </c>
    </row>
    <row r="26" spans="1:16" ht="12.75" customHeight="1" thickBot="1" x14ac:dyDescent="0.25">
      <c r="A26" s="37" t="str">
        <f t="shared" si="0"/>
        <v> VSS 4.157 </v>
      </c>
      <c r="B26" s="6" t="str">
        <f t="shared" si="1"/>
        <v>II</v>
      </c>
      <c r="C26" s="37">
        <f t="shared" si="2"/>
        <v>28511.252</v>
      </c>
      <c r="D26" s="25" t="str">
        <f t="shared" si="3"/>
        <v>vis</v>
      </c>
      <c r="E26" s="65">
        <f>VLOOKUP(C26,Active!C$21:E$973,3,FALSE)</f>
        <v>-27052.913067870286</v>
      </c>
      <c r="F26" s="6" t="s">
        <v>66</v>
      </c>
      <c r="G26" s="25" t="str">
        <f t="shared" si="4"/>
        <v>28511.252</v>
      </c>
      <c r="H26" s="37">
        <f t="shared" si="5"/>
        <v>-1242.5</v>
      </c>
      <c r="I26" s="66" t="s">
        <v>77</v>
      </c>
      <c r="J26" s="67" t="s">
        <v>78</v>
      </c>
      <c r="K26" s="66">
        <v>-1242.5</v>
      </c>
      <c r="L26" s="66" t="s">
        <v>79</v>
      </c>
      <c r="M26" s="67" t="s">
        <v>71</v>
      </c>
      <c r="N26" s="67"/>
      <c r="O26" s="68" t="s">
        <v>72</v>
      </c>
      <c r="P26" s="68" t="s">
        <v>73</v>
      </c>
    </row>
    <row r="27" spans="1:16" ht="12.75" customHeight="1" thickBot="1" x14ac:dyDescent="0.25">
      <c r="A27" s="37" t="str">
        <f t="shared" si="0"/>
        <v> VSS 4.157 </v>
      </c>
      <c r="B27" s="6" t="str">
        <f t="shared" si="1"/>
        <v>II</v>
      </c>
      <c r="C27" s="37">
        <f t="shared" si="2"/>
        <v>28835.335999999999</v>
      </c>
      <c r="D27" s="25" t="str">
        <f t="shared" si="3"/>
        <v>vis</v>
      </c>
      <c r="E27" s="65">
        <f>VLOOKUP(C27,Active!C$21:E$973,3,FALSE)</f>
        <v>-26644.921497985561</v>
      </c>
      <c r="F27" s="6" t="s">
        <v>66</v>
      </c>
      <c r="G27" s="25" t="str">
        <f t="shared" si="4"/>
        <v>28835.336</v>
      </c>
      <c r="H27" s="37">
        <f t="shared" si="5"/>
        <v>-816.5</v>
      </c>
      <c r="I27" s="66" t="s">
        <v>80</v>
      </c>
      <c r="J27" s="67" t="s">
        <v>81</v>
      </c>
      <c r="K27" s="66">
        <v>-816.5</v>
      </c>
      <c r="L27" s="66" t="s">
        <v>82</v>
      </c>
      <c r="M27" s="67" t="s">
        <v>71</v>
      </c>
      <c r="N27" s="67"/>
      <c r="O27" s="68" t="s">
        <v>72</v>
      </c>
      <c r="P27" s="68" t="s">
        <v>73</v>
      </c>
    </row>
    <row r="28" spans="1:16" ht="12.75" customHeight="1" thickBot="1" x14ac:dyDescent="0.25">
      <c r="A28" s="37" t="str">
        <f t="shared" si="0"/>
        <v> VSS 4.157 </v>
      </c>
      <c r="B28" s="6" t="str">
        <f t="shared" si="1"/>
        <v>I</v>
      </c>
      <c r="C28" s="37">
        <f t="shared" si="2"/>
        <v>29494.566999999999</v>
      </c>
      <c r="D28" s="25" t="str">
        <f t="shared" si="3"/>
        <v>vis</v>
      </c>
      <c r="E28" s="65">
        <f>VLOOKUP(C28,Active!C$21:E$973,3,FALSE)</f>
        <v>-25815.011071655721</v>
      </c>
      <c r="F28" s="6" t="s">
        <v>66</v>
      </c>
      <c r="G28" s="25" t="str">
        <f t="shared" si="4"/>
        <v>29494.567</v>
      </c>
      <c r="H28" s="37">
        <f t="shared" si="5"/>
        <v>50</v>
      </c>
      <c r="I28" s="66" t="s">
        <v>86</v>
      </c>
      <c r="J28" s="67" t="s">
        <v>87</v>
      </c>
      <c r="K28" s="66">
        <v>50</v>
      </c>
      <c r="L28" s="66" t="s">
        <v>88</v>
      </c>
      <c r="M28" s="67" t="s">
        <v>71</v>
      </c>
      <c r="N28" s="67"/>
      <c r="O28" s="68" t="s">
        <v>72</v>
      </c>
      <c r="P28" s="68" t="s">
        <v>73</v>
      </c>
    </row>
    <row r="29" spans="1:16" ht="12.75" customHeight="1" thickBot="1" x14ac:dyDescent="0.25">
      <c r="A29" s="37" t="str">
        <f t="shared" si="0"/>
        <v> VSS 4.157 </v>
      </c>
      <c r="B29" s="6" t="str">
        <f t="shared" si="1"/>
        <v>II</v>
      </c>
      <c r="C29" s="37">
        <f t="shared" si="2"/>
        <v>29877.550999999999</v>
      </c>
      <c r="D29" s="25" t="str">
        <f t="shared" si="3"/>
        <v>vis</v>
      </c>
      <c r="E29" s="65">
        <f>VLOOKUP(C29,Active!C$21:E$973,3,FALSE)</f>
        <v>-25332.869887886285</v>
      </c>
      <c r="F29" s="6" t="s">
        <v>66</v>
      </c>
      <c r="G29" s="25" t="str">
        <f t="shared" si="4"/>
        <v>29877.551</v>
      </c>
      <c r="H29" s="37">
        <f t="shared" si="5"/>
        <v>553.5</v>
      </c>
      <c r="I29" s="66" t="s">
        <v>89</v>
      </c>
      <c r="J29" s="67" t="s">
        <v>90</v>
      </c>
      <c r="K29" s="66">
        <v>553.5</v>
      </c>
      <c r="L29" s="66" t="s">
        <v>91</v>
      </c>
      <c r="M29" s="67" t="s">
        <v>71</v>
      </c>
      <c r="N29" s="67"/>
      <c r="O29" s="68" t="s">
        <v>72</v>
      </c>
      <c r="P29" s="68" t="s">
        <v>73</v>
      </c>
    </row>
    <row r="30" spans="1:16" ht="12.75" customHeight="1" thickBot="1" x14ac:dyDescent="0.25">
      <c r="A30" s="37" t="str">
        <f t="shared" si="0"/>
        <v> VSS 4.157 </v>
      </c>
      <c r="B30" s="6" t="str">
        <f t="shared" si="1"/>
        <v>I</v>
      </c>
      <c r="C30" s="37">
        <f t="shared" si="2"/>
        <v>30178.491999999998</v>
      </c>
      <c r="D30" s="25" t="str">
        <f t="shared" si="3"/>
        <v>vis</v>
      </c>
      <c r="E30" s="65">
        <f>VLOOKUP(C30,Active!C$21:E$973,3,FALSE)</f>
        <v>-24954.01319939602</v>
      </c>
      <c r="F30" s="6" t="s">
        <v>66</v>
      </c>
      <c r="G30" s="25" t="str">
        <f t="shared" si="4"/>
        <v>30178.492</v>
      </c>
      <c r="H30" s="37">
        <f t="shared" si="5"/>
        <v>949</v>
      </c>
      <c r="I30" s="66" t="s">
        <v>92</v>
      </c>
      <c r="J30" s="67" t="s">
        <v>93</v>
      </c>
      <c r="K30" s="66">
        <v>949</v>
      </c>
      <c r="L30" s="66" t="s">
        <v>94</v>
      </c>
      <c r="M30" s="67" t="s">
        <v>71</v>
      </c>
      <c r="N30" s="67"/>
      <c r="O30" s="68" t="s">
        <v>72</v>
      </c>
      <c r="P30" s="68" t="s">
        <v>73</v>
      </c>
    </row>
    <row r="31" spans="1:16" ht="12.75" customHeight="1" thickBot="1" x14ac:dyDescent="0.25">
      <c r="A31" s="37" t="str">
        <f t="shared" si="0"/>
        <v> VSS 4.157 </v>
      </c>
      <c r="B31" s="6" t="str">
        <f t="shared" si="1"/>
        <v>II</v>
      </c>
      <c r="C31" s="37">
        <f t="shared" si="2"/>
        <v>30259.51</v>
      </c>
      <c r="D31" s="25" t="str">
        <f t="shared" si="3"/>
        <v>vis</v>
      </c>
      <c r="E31" s="65">
        <f>VLOOKUP(C31,Active!C$21:E$973,3,FALSE)</f>
        <v>-24852.019083645409</v>
      </c>
      <c r="F31" s="6" t="s">
        <v>66</v>
      </c>
      <c r="G31" s="25" t="str">
        <f t="shared" si="4"/>
        <v>30259.510</v>
      </c>
      <c r="H31" s="37">
        <f t="shared" si="5"/>
        <v>1055.5</v>
      </c>
      <c r="I31" s="66" t="s">
        <v>95</v>
      </c>
      <c r="J31" s="67" t="s">
        <v>96</v>
      </c>
      <c r="K31" s="66">
        <v>1055.5</v>
      </c>
      <c r="L31" s="66" t="s">
        <v>76</v>
      </c>
      <c r="M31" s="67" t="s">
        <v>71</v>
      </c>
      <c r="N31" s="67"/>
      <c r="O31" s="68" t="s">
        <v>72</v>
      </c>
      <c r="P31" s="68" t="s">
        <v>73</v>
      </c>
    </row>
    <row r="32" spans="1:16" ht="12.75" customHeight="1" thickBot="1" x14ac:dyDescent="0.25">
      <c r="A32" s="37" t="str">
        <f t="shared" si="0"/>
        <v> VSS 4.157 </v>
      </c>
      <c r="B32" s="6" t="str">
        <f t="shared" si="1"/>
        <v>I</v>
      </c>
      <c r="C32" s="37">
        <f t="shared" si="2"/>
        <v>33917.519999999997</v>
      </c>
      <c r="D32" s="25" t="str">
        <f t="shared" si="3"/>
        <v>vis</v>
      </c>
      <c r="E32" s="65">
        <f>VLOOKUP(C32,Active!C$21:E$973,3,FALSE)</f>
        <v>-20246.92521121099</v>
      </c>
      <c r="F32" s="6" t="s">
        <v>66</v>
      </c>
      <c r="G32" s="25" t="str">
        <f t="shared" si="4"/>
        <v>33917.520</v>
      </c>
      <c r="H32" s="37">
        <f t="shared" si="5"/>
        <v>5864</v>
      </c>
      <c r="I32" s="66" t="s">
        <v>97</v>
      </c>
      <c r="J32" s="67" t="s">
        <v>98</v>
      </c>
      <c r="K32" s="66">
        <v>5864</v>
      </c>
      <c r="L32" s="66" t="s">
        <v>99</v>
      </c>
      <c r="M32" s="67" t="s">
        <v>71</v>
      </c>
      <c r="N32" s="67"/>
      <c r="O32" s="68" t="s">
        <v>72</v>
      </c>
      <c r="P32" s="68" t="s">
        <v>73</v>
      </c>
    </row>
    <row r="33" spans="1:16" ht="12.75" customHeight="1" thickBot="1" x14ac:dyDescent="0.25">
      <c r="A33" s="37" t="str">
        <f t="shared" si="0"/>
        <v>BAVM 68 </v>
      </c>
      <c r="B33" s="6" t="str">
        <f t="shared" si="1"/>
        <v>I</v>
      </c>
      <c r="C33" s="37">
        <f t="shared" si="2"/>
        <v>49371.349499999997</v>
      </c>
      <c r="D33" s="25" t="str">
        <f t="shared" si="3"/>
        <v>vis</v>
      </c>
      <c r="E33" s="65">
        <f>VLOOKUP(C33,Active!C$21:E$973,3,FALSE)</f>
        <v>-791.99328480938902</v>
      </c>
      <c r="F33" s="6" t="s">
        <v>66</v>
      </c>
      <c r="G33" s="25" t="str">
        <f t="shared" si="4"/>
        <v>49371.3495</v>
      </c>
      <c r="H33" s="37">
        <f t="shared" si="5"/>
        <v>26178</v>
      </c>
      <c r="I33" s="66" t="s">
        <v>100</v>
      </c>
      <c r="J33" s="67" t="s">
        <v>101</v>
      </c>
      <c r="K33" s="66">
        <v>26178</v>
      </c>
      <c r="L33" s="66" t="s">
        <v>102</v>
      </c>
      <c r="M33" s="67" t="s">
        <v>103</v>
      </c>
      <c r="N33" s="67" t="s">
        <v>104</v>
      </c>
      <c r="O33" s="68" t="s">
        <v>105</v>
      </c>
      <c r="P33" s="69" t="s">
        <v>106</v>
      </c>
    </row>
    <row r="34" spans="1:16" ht="12.75" customHeight="1" thickBot="1" x14ac:dyDescent="0.25">
      <c r="A34" s="37" t="str">
        <f t="shared" si="0"/>
        <v>BAVM 203 </v>
      </c>
      <c r="B34" s="6" t="str">
        <f t="shared" si="1"/>
        <v>I</v>
      </c>
      <c r="C34" s="37">
        <f t="shared" si="2"/>
        <v>54396.311600000001</v>
      </c>
      <c r="D34" s="25" t="str">
        <f t="shared" si="3"/>
        <v>vis</v>
      </c>
      <c r="E34" s="65">
        <f>VLOOKUP(C34,Active!C$21:E$973,3,FALSE)</f>
        <v>5533.9659596774291</v>
      </c>
      <c r="F34" s="6" t="s">
        <v>66</v>
      </c>
      <c r="G34" s="25" t="str">
        <f t="shared" si="4"/>
        <v>54396.3116</v>
      </c>
      <c r="H34" s="37">
        <f t="shared" si="5"/>
        <v>32783</v>
      </c>
      <c r="I34" s="66" t="s">
        <v>157</v>
      </c>
      <c r="J34" s="67" t="s">
        <v>158</v>
      </c>
      <c r="K34" s="66" t="s">
        <v>159</v>
      </c>
      <c r="L34" s="66" t="s">
        <v>160</v>
      </c>
      <c r="M34" s="67" t="s">
        <v>148</v>
      </c>
      <c r="N34" s="67" t="s">
        <v>104</v>
      </c>
      <c r="O34" s="68" t="s">
        <v>161</v>
      </c>
      <c r="P34" s="69" t="s">
        <v>162</v>
      </c>
    </row>
    <row r="35" spans="1:16" ht="12.75" customHeight="1" thickBot="1" x14ac:dyDescent="0.25">
      <c r="A35" s="37" t="str">
        <f t="shared" si="0"/>
        <v>BAVM 212 </v>
      </c>
      <c r="B35" s="6" t="str">
        <f t="shared" si="1"/>
        <v>II</v>
      </c>
      <c r="C35" s="37">
        <f t="shared" si="2"/>
        <v>55067.5507</v>
      </c>
      <c r="D35" s="25" t="str">
        <f t="shared" si="3"/>
        <v>vis</v>
      </c>
      <c r="E35" s="65">
        <f>VLOOKUP(C35,Active!C$21:E$973,3,FALSE)</f>
        <v>6378.9934654383187</v>
      </c>
      <c r="F35" s="6" t="s">
        <v>66</v>
      </c>
      <c r="G35" s="25" t="str">
        <f t="shared" si="4"/>
        <v>55067.5507</v>
      </c>
      <c r="H35" s="37">
        <f t="shared" si="5"/>
        <v>33665.5</v>
      </c>
      <c r="I35" s="66" t="s">
        <v>163</v>
      </c>
      <c r="J35" s="67" t="s">
        <v>164</v>
      </c>
      <c r="K35" s="66" t="s">
        <v>165</v>
      </c>
      <c r="L35" s="66" t="s">
        <v>166</v>
      </c>
      <c r="M35" s="67" t="s">
        <v>148</v>
      </c>
      <c r="N35" s="67" t="s">
        <v>154</v>
      </c>
      <c r="O35" s="68" t="s">
        <v>105</v>
      </c>
      <c r="P35" s="69" t="s">
        <v>167</v>
      </c>
    </row>
    <row r="36" spans="1:16" ht="12.75" customHeight="1" thickBot="1" x14ac:dyDescent="0.25">
      <c r="A36" s="37" t="str">
        <f t="shared" si="0"/>
        <v>BAVM 225 </v>
      </c>
      <c r="B36" s="6" t="str">
        <f t="shared" si="1"/>
        <v>I</v>
      </c>
      <c r="C36" s="37">
        <f t="shared" si="2"/>
        <v>55856.329899999997</v>
      </c>
      <c r="D36" s="25" t="str">
        <f t="shared" si="3"/>
        <v>vis</v>
      </c>
      <c r="E36" s="65">
        <f>VLOOKUP(C36,Active!C$21:E$973,3,FALSE)</f>
        <v>7371.9930090764483</v>
      </c>
      <c r="F36" s="6" t="s">
        <v>66</v>
      </c>
      <c r="G36" s="25" t="str">
        <f t="shared" si="4"/>
        <v>55856.3299</v>
      </c>
      <c r="H36" s="37">
        <f t="shared" si="5"/>
        <v>34702</v>
      </c>
      <c r="I36" s="66" t="s">
        <v>174</v>
      </c>
      <c r="J36" s="67" t="s">
        <v>175</v>
      </c>
      <c r="K36" s="66" t="s">
        <v>176</v>
      </c>
      <c r="L36" s="66" t="s">
        <v>177</v>
      </c>
      <c r="M36" s="67" t="s">
        <v>148</v>
      </c>
      <c r="N36" s="67" t="s">
        <v>154</v>
      </c>
      <c r="O36" s="68" t="s">
        <v>105</v>
      </c>
      <c r="P36" s="69" t="s">
        <v>178</v>
      </c>
    </row>
    <row r="37" spans="1:16" ht="12.75" customHeight="1" thickBot="1" x14ac:dyDescent="0.25">
      <c r="A37" s="37" t="str">
        <f t="shared" si="0"/>
        <v>BAVM 225 </v>
      </c>
      <c r="B37" s="6" t="str">
        <f t="shared" si="1"/>
        <v>I</v>
      </c>
      <c r="C37" s="37">
        <f t="shared" si="2"/>
        <v>55874.5936</v>
      </c>
      <c r="D37" s="25" t="str">
        <f t="shared" si="3"/>
        <v>vis</v>
      </c>
      <c r="E37" s="65">
        <f>VLOOKUP(C37,Active!C$21:E$973,3,FALSE)</f>
        <v>7394.9853062429393</v>
      </c>
      <c r="F37" s="6" t="s">
        <v>66</v>
      </c>
      <c r="G37" s="25" t="str">
        <f t="shared" si="4"/>
        <v>55874.5936</v>
      </c>
      <c r="H37" s="37">
        <f t="shared" si="5"/>
        <v>34726</v>
      </c>
      <c r="I37" s="66" t="s">
        <v>179</v>
      </c>
      <c r="J37" s="67" t="s">
        <v>180</v>
      </c>
      <c r="K37" s="66" t="s">
        <v>181</v>
      </c>
      <c r="L37" s="66" t="s">
        <v>182</v>
      </c>
      <c r="M37" s="67" t="s">
        <v>148</v>
      </c>
      <c r="N37" s="67" t="s">
        <v>154</v>
      </c>
      <c r="O37" s="68" t="s">
        <v>105</v>
      </c>
      <c r="P37" s="69" t="s">
        <v>178</v>
      </c>
    </row>
    <row r="38" spans="1:16" x14ac:dyDescent="0.2">
      <c r="B38" s="6"/>
      <c r="F38" s="6"/>
    </row>
    <row r="39" spans="1:16" x14ac:dyDescent="0.2">
      <c r="B39" s="6"/>
      <c r="F39" s="6"/>
    </row>
    <row r="40" spans="1:16" x14ac:dyDescent="0.2">
      <c r="B40" s="6"/>
      <c r="F40" s="6"/>
    </row>
    <row r="41" spans="1:16" x14ac:dyDescent="0.2">
      <c r="B41" s="6"/>
      <c r="F41" s="6"/>
    </row>
    <row r="42" spans="1:16" x14ac:dyDescent="0.2">
      <c r="B42" s="6"/>
      <c r="F42" s="6"/>
    </row>
    <row r="43" spans="1:16" x14ac:dyDescent="0.2">
      <c r="B43" s="6"/>
      <c r="F43" s="6"/>
    </row>
    <row r="44" spans="1:16" x14ac:dyDescent="0.2">
      <c r="B44" s="6"/>
      <c r="F44" s="6"/>
    </row>
    <row r="45" spans="1:16" x14ac:dyDescent="0.2">
      <c r="B45" s="6"/>
      <c r="F45" s="6"/>
    </row>
    <row r="46" spans="1:16" x14ac:dyDescent="0.2">
      <c r="B46" s="6"/>
      <c r="F46" s="6"/>
    </row>
    <row r="47" spans="1:16" x14ac:dyDescent="0.2">
      <c r="B47" s="6"/>
      <c r="F47" s="6"/>
    </row>
    <row r="48" spans="1:1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</sheetData>
  <phoneticPr fontId="7" type="noConversion"/>
  <hyperlinks>
    <hyperlink ref="P33" r:id="rId1" display="http://www.bav-astro.de/sfs/BAVM_link.php?BAVMnr=68"/>
    <hyperlink ref="P12" r:id="rId2" display="http://www.bav-astro.de/sfs/BAVM_link.php?BAVMnr=117"/>
    <hyperlink ref="P13" r:id="rId3" display="http://www.konkoly.hu/cgi-bin/IBVS?4887"/>
    <hyperlink ref="P14" r:id="rId4" display="http://www.bav-astro.de/sfs/BAVM_link.php?BAVMnr=117"/>
    <hyperlink ref="P15" r:id="rId5" display="http://www.bav-astro.de/sfs/BAVM_link.php?BAVMnr=132"/>
    <hyperlink ref="P16" r:id="rId6" display="http://www.bav-astro.de/sfs/BAVM_link.php?BAVMnr=152"/>
    <hyperlink ref="P17" r:id="rId7" display="http://www.bav-astro.de/sfs/BAVM_link.php?BAVMnr=152"/>
    <hyperlink ref="P18" r:id="rId8" display="http://www.bav-astro.de/sfs/BAVM_link.php?BAVMnr=172"/>
    <hyperlink ref="P19" r:id="rId9" display="http://www.bav-astro.de/sfs/BAVM_link.php?BAVMnr=152"/>
    <hyperlink ref="P20" r:id="rId10" display="http://www.konkoly.hu/cgi-bin/IBVS?5371"/>
    <hyperlink ref="P21" r:id="rId11" display="http://var.astro.cz/oejv/issues/oejv0074.pdf"/>
    <hyperlink ref="P22" r:id="rId12" display="http://www.bav-astro.de/sfs/BAVM_link.php?BAVMnr=183"/>
    <hyperlink ref="P34" r:id="rId13" display="http://www.bav-astro.de/sfs/BAVM_link.php?BAVMnr=203"/>
    <hyperlink ref="P35" r:id="rId14" display="http://www.bav-astro.de/sfs/BAVM_link.php?BAVMnr=212"/>
    <hyperlink ref="P23" r:id="rId15" display="http://www.konkoly.hu/cgi-bin/IBVS?5960"/>
    <hyperlink ref="P36" r:id="rId16" display="http://www.bav-astro.de/sfs/BAVM_link.php?BAVMnr=225"/>
    <hyperlink ref="P37" r:id="rId17" display="http://www.bav-astro.de/sfs/BAVM_link.php?BAVMnr=225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>
      <selection activeCell="R15" sqref="R15:R1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3">
      <c r="A1" s="1" t="s">
        <v>30</v>
      </c>
      <c r="B1" s="11" t="s">
        <v>31</v>
      </c>
      <c r="C1" s="12"/>
      <c r="D1" s="12"/>
    </row>
    <row r="2" spans="1:18" x14ac:dyDescent="0.2">
      <c r="A2" t="s">
        <v>26</v>
      </c>
      <c r="B2" s="12" t="s">
        <v>32</v>
      </c>
      <c r="C2" s="12"/>
      <c r="D2" s="12"/>
    </row>
    <row r="3" spans="1:18" ht="13.5" thickBot="1" x14ac:dyDescent="0.25">
      <c r="B3" s="12"/>
      <c r="C3" s="13"/>
      <c r="D3" s="13"/>
    </row>
    <row r="4" spans="1:18" ht="13.5" thickBot="1" x14ac:dyDescent="0.25">
      <c r="A4" s="8" t="s">
        <v>0</v>
      </c>
      <c r="B4" s="14"/>
      <c r="C4" s="15">
        <v>29456.511999999999</v>
      </c>
      <c r="D4" s="16">
        <v>0.76074699999999995</v>
      </c>
    </row>
    <row r="5" spans="1:18" x14ac:dyDescent="0.2">
      <c r="B5" s="12"/>
      <c r="C5" s="17"/>
      <c r="D5" s="17"/>
    </row>
    <row r="6" spans="1:18" x14ac:dyDescent="0.2">
      <c r="A6" s="8" t="s">
        <v>1</v>
      </c>
      <c r="B6" s="12"/>
      <c r="C6" s="12"/>
      <c r="D6" s="12"/>
    </row>
    <row r="7" spans="1:18" x14ac:dyDescent="0.2">
      <c r="A7" t="s">
        <v>2</v>
      </c>
      <c r="B7" s="12"/>
      <c r="C7" s="12">
        <v>50000.4614</v>
      </c>
      <c r="D7" s="12"/>
    </row>
    <row r="8" spans="1:18" x14ac:dyDescent="0.2">
      <c r="A8" t="s">
        <v>3</v>
      </c>
      <c r="B8" s="12"/>
      <c r="C8" s="12">
        <f>D4</f>
        <v>0.76074699999999995</v>
      </c>
      <c r="D8" s="12"/>
    </row>
    <row r="10" spans="1:18" ht="13.5" thickBot="1" x14ac:dyDescent="0.25">
      <c r="C10" s="7" t="s">
        <v>21</v>
      </c>
      <c r="D10" s="7" t="s">
        <v>22</v>
      </c>
    </row>
    <row r="11" spans="1:18" x14ac:dyDescent="0.2">
      <c r="A11" t="s">
        <v>16</v>
      </c>
      <c r="C11">
        <f>INTERCEPT(G21:G32,F21:F32)</f>
        <v>1.0973708219938486E-2</v>
      </c>
      <c r="D11" s="6"/>
    </row>
    <row r="12" spans="1:18" x14ac:dyDescent="0.2">
      <c r="A12" t="s">
        <v>17</v>
      </c>
      <c r="C12">
        <f>SLOPE(G21:G32,F21:F32)</f>
        <v>-4.3425632753183631E-7</v>
      </c>
      <c r="D12" s="6"/>
    </row>
    <row r="13" spans="1:18" x14ac:dyDescent="0.2">
      <c r="A13" t="s">
        <v>20</v>
      </c>
      <c r="C13" s="6" t="s">
        <v>14</v>
      </c>
      <c r="D13" s="6"/>
    </row>
    <row r="14" spans="1:18" x14ac:dyDescent="0.2">
      <c r="A14" t="s">
        <v>25</v>
      </c>
    </row>
    <row r="15" spans="1:18" x14ac:dyDescent="0.2">
      <c r="A15" s="3" t="s">
        <v>18</v>
      </c>
      <c r="C15">
        <f>+C7+C11</f>
        <v>50000.472373708217</v>
      </c>
      <c r="R15">
        <f>SUM(R21:R216)</f>
        <v>5.0063066892984877E-2</v>
      </c>
    </row>
    <row r="16" spans="1:18" x14ac:dyDescent="0.2">
      <c r="A16" s="8" t="s">
        <v>4</v>
      </c>
      <c r="C16">
        <f>+C8+C12</f>
        <v>0.76074656574367239</v>
      </c>
      <c r="R16">
        <f>COUNT(R21:R702)</f>
        <v>10</v>
      </c>
    </row>
    <row r="17" spans="1:18" ht="13.5" thickBot="1" x14ac:dyDescent="0.25">
      <c r="R17">
        <f>SQRT(R15/(R16-1))</f>
        <v>7.4582591722931108E-2</v>
      </c>
    </row>
    <row r="18" spans="1:18" x14ac:dyDescent="0.2">
      <c r="A18" s="8" t="s">
        <v>5</v>
      </c>
      <c r="C18" s="4">
        <f>+C15</f>
        <v>50000.472373708217</v>
      </c>
      <c r="D18" s="5">
        <f>+C16</f>
        <v>0.76074656574367239</v>
      </c>
    </row>
    <row r="19" spans="1:18" ht="13.5" thickTop="1" x14ac:dyDescent="0.2">
      <c r="C19">
        <f>COUNT(C21:C2753)</f>
        <v>10</v>
      </c>
    </row>
    <row r="20" spans="1:18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40</v>
      </c>
      <c r="J20" s="10" t="s">
        <v>41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18" x14ac:dyDescent="0.2">
      <c r="A21" s="17" t="s">
        <v>12</v>
      </c>
      <c r="B21" s="17"/>
      <c r="C21" s="17">
        <v>29456.511999999999</v>
      </c>
      <c r="D21" s="17"/>
      <c r="E21">
        <f>+(C21-C$7)/C$8</f>
        <v>-27004.96932620175</v>
      </c>
      <c r="F21">
        <f>ROUND(2*E21,0)/2</f>
        <v>-27005</v>
      </c>
      <c r="G21">
        <f>+C21-(C$7+F21*C$8)</f>
        <v>2.3334999998041894E-2</v>
      </c>
      <c r="H21">
        <f>+G21</f>
        <v>2.3334999998041894E-2</v>
      </c>
      <c r="O21">
        <f>+C$11+C$12*F21</f>
        <v>2.2700800344935726E-2</v>
      </c>
      <c r="Q21" s="2">
        <f>+C21-15018.5</f>
        <v>14438.011999999999</v>
      </c>
      <c r="R21">
        <f>(O21-G21)^2</f>
        <v>4.0220919999998423E-7</v>
      </c>
    </row>
    <row r="22" spans="1:18" x14ac:dyDescent="0.2">
      <c r="A22" s="12" t="s">
        <v>33</v>
      </c>
      <c r="B22" s="12"/>
      <c r="C22" s="12">
        <v>50000.4614</v>
      </c>
      <c r="D22" s="12">
        <v>5.9999999999999995E-4</v>
      </c>
      <c r="E22">
        <f t="shared" ref="E22:E30" si="0">+(C22-C$7)/C$8</f>
        <v>0</v>
      </c>
      <c r="F22">
        <f t="shared" ref="F22:F30" si="1">ROUND(2*E22,0)/2</f>
        <v>0</v>
      </c>
      <c r="G22">
        <f t="shared" ref="G22:G30" si="2">+C22-(C$7+F22*C$8)</f>
        <v>0</v>
      </c>
      <c r="I22">
        <f t="shared" ref="I22:I28" si="3">+G22</f>
        <v>0</v>
      </c>
      <c r="O22">
        <f t="shared" ref="O22:O30" si="4">+C$11+C$12*F22</f>
        <v>1.0973708219938486E-2</v>
      </c>
      <c r="Q22" s="2">
        <f t="shared" ref="Q22:Q30" si="5">+C22-15018.5</f>
        <v>34981.9614</v>
      </c>
      <c r="R22">
        <f t="shared" ref="R22:R30" si="6">(O22-G22)^2</f>
        <v>1.204222720963455E-4</v>
      </c>
    </row>
    <row r="23" spans="1:18" x14ac:dyDescent="0.2">
      <c r="A23" s="12" t="s">
        <v>34</v>
      </c>
      <c r="B23" s="12"/>
      <c r="C23" s="12">
        <v>50773.347500000003</v>
      </c>
      <c r="D23" s="12">
        <v>2.8E-3</v>
      </c>
      <c r="E23">
        <f t="shared" si="0"/>
        <v>1015.9568161294142</v>
      </c>
      <c r="F23">
        <f t="shared" si="1"/>
        <v>1016</v>
      </c>
      <c r="G23">
        <f t="shared" si="2"/>
        <v>-3.285199999663746E-2</v>
      </c>
      <c r="I23">
        <f t="shared" si="3"/>
        <v>-3.285199999663746E-2</v>
      </c>
      <c r="O23">
        <f t="shared" si="4"/>
        <v>1.053250379116614E-2</v>
      </c>
      <c r="Q23" s="2">
        <f t="shared" si="5"/>
        <v>35754.847500000003</v>
      </c>
      <c r="R23">
        <f t="shared" si="6"/>
        <v>1.8822151689139447E-3</v>
      </c>
    </row>
    <row r="24" spans="1:18" x14ac:dyDescent="0.2">
      <c r="A24" s="12" t="s">
        <v>33</v>
      </c>
      <c r="B24" s="12"/>
      <c r="C24" s="12">
        <v>51043.423499999997</v>
      </c>
      <c r="D24" s="12">
        <v>5.9999999999999995E-4</v>
      </c>
      <c r="E24">
        <f t="shared" si="0"/>
        <v>1370.9710324194471</v>
      </c>
      <c r="F24">
        <f t="shared" si="1"/>
        <v>1371</v>
      </c>
      <c r="G24">
        <f t="shared" si="2"/>
        <v>-2.2037000002455898E-2</v>
      </c>
      <c r="I24">
        <f t="shared" si="3"/>
        <v>-2.2037000002455898E-2</v>
      </c>
      <c r="O24">
        <f t="shared" si="4"/>
        <v>1.0378342794892338E-2</v>
      </c>
      <c r="Q24" s="2">
        <f t="shared" si="5"/>
        <v>36024.923499999997</v>
      </c>
      <c r="R24">
        <f t="shared" si="6"/>
        <v>1.0507544486695961E-3</v>
      </c>
    </row>
    <row r="25" spans="1:18" x14ac:dyDescent="0.2">
      <c r="A25" s="12" t="s">
        <v>35</v>
      </c>
      <c r="B25" s="12"/>
      <c r="C25" s="11">
        <v>51468.401299999998</v>
      </c>
      <c r="D25" s="12">
        <v>4.0000000000000002E-4</v>
      </c>
      <c r="E25">
        <f t="shared" si="0"/>
        <v>1929.603271521278</v>
      </c>
      <c r="F25">
        <f t="shared" si="1"/>
        <v>1929.5</v>
      </c>
      <c r="G25">
        <f t="shared" si="2"/>
        <v>7.8563499999290798E-2</v>
      </c>
      <c r="I25">
        <f t="shared" si="3"/>
        <v>7.8563499999290798E-2</v>
      </c>
      <c r="O25">
        <f t="shared" si="4"/>
        <v>1.0135810635965808E-2</v>
      </c>
      <c r="Q25" s="2">
        <f t="shared" si="5"/>
        <v>36449.901299999998</v>
      </c>
      <c r="R25">
        <f t="shared" si="6"/>
        <v>4.6823486716037008E-3</v>
      </c>
    </row>
    <row r="26" spans="1:18" x14ac:dyDescent="0.2">
      <c r="A26" s="18" t="s">
        <v>36</v>
      </c>
      <c r="B26" s="19" t="s">
        <v>37</v>
      </c>
      <c r="C26" s="20">
        <v>51773.427600000003</v>
      </c>
      <c r="D26" s="20">
        <v>1.4E-3</v>
      </c>
      <c r="E26">
        <f t="shared" si="0"/>
        <v>2330.5595684241971</v>
      </c>
      <c r="F26">
        <f t="shared" si="1"/>
        <v>2330.5</v>
      </c>
      <c r="G26">
        <f t="shared" si="2"/>
        <v>4.5316499999898952E-2</v>
      </c>
      <c r="I26">
        <f t="shared" si="3"/>
        <v>4.5316499999898952E-2</v>
      </c>
      <c r="O26">
        <f t="shared" si="4"/>
        <v>9.9616738486255421E-3</v>
      </c>
      <c r="Q26" s="2">
        <f t="shared" si="5"/>
        <v>36754.927600000003</v>
      </c>
      <c r="R26">
        <f t="shared" si="6"/>
        <v>1.2499637321867661E-3</v>
      </c>
    </row>
    <row r="27" spans="1:18" x14ac:dyDescent="0.2">
      <c r="A27" s="21" t="s">
        <v>36</v>
      </c>
      <c r="B27" s="6" t="s">
        <v>37</v>
      </c>
      <c r="C27" s="22">
        <v>51812.347099999999</v>
      </c>
      <c r="D27" s="22">
        <v>1E-3</v>
      </c>
      <c r="E27">
        <f t="shared" si="0"/>
        <v>2381.7191523594561</v>
      </c>
      <c r="F27">
        <f t="shared" si="1"/>
        <v>2381.5</v>
      </c>
      <c r="G27">
        <f t="shared" si="2"/>
        <v>0.16671949999727076</v>
      </c>
      <c r="I27">
        <f t="shared" si="3"/>
        <v>0.16671949999727076</v>
      </c>
      <c r="O27">
        <f t="shared" si="4"/>
        <v>9.939526775921418E-3</v>
      </c>
      <c r="Q27" s="2">
        <f t="shared" si="5"/>
        <v>36793.847099999999</v>
      </c>
      <c r="R27">
        <f t="shared" si="6"/>
        <v>2.4579960003287018E-2</v>
      </c>
    </row>
    <row r="28" spans="1:18" x14ac:dyDescent="0.2">
      <c r="A28" s="21" t="s">
        <v>36</v>
      </c>
      <c r="B28" s="23" t="s">
        <v>37</v>
      </c>
      <c r="C28" s="22">
        <v>52120.550799999997</v>
      </c>
      <c r="D28" s="22">
        <v>1.2999999999999999E-3</v>
      </c>
      <c r="E28">
        <f t="shared" si="0"/>
        <v>2786.8521334951006</v>
      </c>
      <c r="F28">
        <f t="shared" si="1"/>
        <v>2787</v>
      </c>
      <c r="G28">
        <f t="shared" si="2"/>
        <v>-0.11248900000646245</v>
      </c>
      <c r="I28">
        <f t="shared" si="3"/>
        <v>-0.11248900000646245</v>
      </c>
      <c r="O28">
        <f t="shared" si="4"/>
        <v>9.7634358351072585E-3</v>
      </c>
      <c r="Q28" s="2">
        <f t="shared" si="5"/>
        <v>37102.050799999997</v>
      </c>
      <c r="R28">
        <f t="shared" si="6"/>
        <v>1.4945658069197117E-2</v>
      </c>
    </row>
    <row r="29" spans="1:18" x14ac:dyDescent="0.2">
      <c r="A29" s="24" t="s">
        <v>38</v>
      </c>
      <c r="B29" s="25"/>
      <c r="C29" s="26">
        <v>52563.791599999997</v>
      </c>
      <c r="D29" s="25">
        <v>4.0000000000000002E-4</v>
      </c>
      <c r="E29">
        <f t="shared" si="0"/>
        <v>3369.4910397280528</v>
      </c>
      <c r="F29">
        <f t="shared" si="1"/>
        <v>3369.5</v>
      </c>
      <c r="G29">
        <f t="shared" si="2"/>
        <v>-6.816500004788395E-3</v>
      </c>
      <c r="J29">
        <f>+G29</f>
        <v>-6.816500004788395E-3</v>
      </c>
      <c r="O29">
        <f t="shared" si="4"/>
        <v>9.5104815243199636E-3</v>
      </c>
      <c r="Q29" s="2">
        <f t="shared" si="5"/>
        <v>37545.291599999997</v>
      </c>
      <c r="R29">
        <f t="shared" si="6"/>
        <v>2.665703258518455E-4</v>
      </c>
    </row>
    <row r="30" spans="1:18" x14ac:dyDescent="0.2">
      <c r="A30" s="27" t="s">
        <v>39</v>
      </c>
      <c r="B30" s="28"/>
      <c r="C30" s="29">
        <v>51834.5965</v>
      </c>
      <c r="D30" s="29">
        <v>5.1999999999999998E-3</v>
      </c>
      <c r="E30">
        <f t="shared" si="0"/>
        <v>2410.9659321693016</v>
      </c>
      <c r="F30">
        <f t="shared" si="1"/>
        <v>2411</v>
      </c>
      <c r="G30">
        <f t="shared" si="2"/>
        <v>-2.5916999999026302E-2</v>
      </c>
      <c r="I30">
        <f>+G30</f>
        <v>-2.5916999999026302E-2</v>
      </c>
      <c r="O30">
        <f t="shared" si="4"/>
        <v>9.9267162142592288E-3</v>
      </c>
      <c r="Q30" s="2">
        <f t="shared" si="5"/>
        <v>36816.0965</v>
      </c>
      <c r="R30">
        <f t="shared" si="6"/>
        <v>1.2847719919785482E-3</v>
      </c>
    </row>
    <row r="31" spans="1:18" x14ac:dyDescent="0.2">
      <c r="D31" s="6"/>
      <c r="Q31" s="2"/>
    </row>
    <row r="32" spans="1:18" x14ac:dyDescent="0.2">
      <c r="D32" s="6"/>
      <c r="Q32" s="2"/>
    </row>
    <row r="33" spans="4:17" x14ac:dyDescent="0.2">
      <c r="D33" s="6"/>
      <c r="Q33" s="2"/>
    </row>
    <row r="34" spans="4:17" x14ac:dyDescent="0.2">
      <c r="D34" s="6"/>
    </row>
    <row r="35" spans="4:17" x14ac:dyDescent="0.2">
      <c r="D35" s="6"/>
    </row>
    <row r="36" spans="4:17" x14ac:dyDescent="0.2">
      <c r="D36" s="6"/>
    </row>
    <row r="37" spans="4:17" x14ac:dyDescent="0.2">
      <c r="D37" s="6"/>
    </row>
    <row r="38" spans="4:17" x14ac:dyDescent="0.2">
      <c r="D38" s="6"/>
    </row>
    <row r="39" spans="4:17" x14ac:dyDescent="0.2">
      <c r="D39" s="6"/>
    </row>
    <row r="40" spans="4:17" x14ac:dyDescent="0.2">
      <c r="D40" s="6"/>
    </row>
    <row r="41" spans="4:17" x14ac:dyDescent="0.2">
      <c r="D41" s="6"/>
    </row>
    <row r="42" spans="4:17" x14ac:dyDescent="0.2">
      <c r="D42" s="6"/>
    </row>
    <row r="43" spans="4:17" x14ac:dyDescent="0.2">
      <c r="D43" s="6"/>
    </row>
    <row r="44" spans="4:17" x14ac:dyDescent="0.2">
      <c r="D44" s="6"/>
    </row>
    <row r="45" spans="4:17" x14ac:dyDescent="0.2">
      <c r="D45" s="6"/>
    </row>
    <row r="46" spans="4:17" x14ac:dyDescent="0.2">
      <c r="D46" s="6"/>
    </row>
    <row r="47" spans="4:17" x14ac:dyDescent="0.2">
      <c r="D47" s="6"/>
    </row>
    <row r="48" spans="4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G21" sqref="G2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30</v>
      </c>
      <c r="B1" s="11" t="s">
        <v>31</v>
      </c>
      <c r="C1" s="12"/>
      <c r="D1" s="12"/>
    </row>
    <row r="2" spans="1:4" x14ac:dyDescent="0.2">
      <c r="A2" t="s">
        <v>26</v>
      </c>
      <c r="B2" s="12" t="s">
        <v>32</v>
      </c>
      <c r="C2" s="12"/>
      <c r="D2" s="12"/>
    </row>
    <row r="3" spans="1:4" ht="13.5" thickBot="1" x14ac:dyDescent="0.25">
      <c r="B3" s="12"/>
      <c r="C3" s="13"/>
      <c r="D3" s="13"/>
    </row>
    <row r="4" spans="1:4" ht="13.5" thickBot="1" x14ac:dyDescent="0.25">
      <c r="A4" s="8" t="s">
        <v>0</v>
      </c>
      <c r="B4" s="14"/>
      <c r="C4" s="15">
        <v>29456.511999999999</v>
      </c>
      <c r="D4" s="16">
        <v>0.76074699999999995</v>
      </c>
    </row>
    <row r="5" spans="1:4" x14ac:dyDescent="0.2">
      <c r="B5" s="12"/>
      <c r="C5" s="17"/>
      <c r="D5" s="17"/>
    </row>
    <row r="6" spans="1:4" x14ac:dyDescent="0.2">
      <c r="A6" s="8" t="s">
        <v>1</v>
      </c>
      <c r="B6" s="12"/>
      <c r="C6" s="12"/>
      <c r="D6" s="12"/>
    </row>
    <row r="7" spans="1:4" x14ac:dyDescent="0.2">
      <c r="A7" t="s">
        <v>2</v>
      </c>
      <c r="B7" s="12"/>
      <c r="C7" s="12">
        <v>50000.4614</v>
      </c>
      <c r="D7" s="12"/>
    </row>
    <row r="8" spans="1:4" x14ac:dyDescent="0.2">
      <c r="A8" t="s">
        <v>3</v>
      </c>
      <c r="B8" s="12"/>
      <c r="C8" s="12">
        <v>0.79430000000000001</v>
      </c>
      <c r="D8" s="12"/>
    </row>
    <row r="10" spans="1:4" ht="13.5" thickBot="1" x14ac:dyDescent="0.25">
      <c r="C10" s="7" t="s">
        <v>21</v>
      </c>
      <c r="D10" s="7" t="s">
        <v>22</v>
      </c>
    </row>
    <row r="11" spans="1:4" x14ac:dyDescent="0.2">
      <c r="A11" t="s">
        <v>16</v>
      </c>
      <c r="C11">
        <f>INTERCEPT(G21:G32,F21:F32)</f>
        <v>-2.444920987301355E-3</v>
      </c>
      <c r="D11" s="6"/>
    </row>
    <row r="12" spans="1:4" x14ac:dyDescent="0.2">
      <c r="A12" t="s">
        <v>17</v>
      </c>
      <c r="C12">
        <f>SLOPE(G21:G32,F21:F32)</f>
        <v>3.994210116745378E-5</v>
      </c>
      <c r="D12" s="6"/>
    </row>
    <row r="13" spans="1:4" x14ac:dyDescent="0.2">
      <c r="A13" t="s">
        <v>20</v>
      </c>
      <c r="C13" s="6" t="s">
        <v>14</v>
      </c>
      <c r="D13" s="6"/>
    </row>
    <row r="14" spans="1:4" x14ac:dyDescent="0.2">
      <c r="A14" t="s">
        <v>25</v>
      </c>
    </row>
    <row r="15" spans="1:4" x14ac:dyDescent="0.2">
      <c r="A15" s="3" t="s">
        <v>18</v>
      </c>
      <c r="C15">
        <f>+C7+C11</f>
        <v>50000.458955079012</v>
      </c>
    </row>
    <row r="16" spans="1:4" x14ac:dyDescent="0.2">
      <c r="A16" s="8" t="s">
        <v>4</v>
      </c>
      <c r="C16">
        <f>+C8+C12</f>
        <v>0.79433994210116743</v>
      </c>
    </row>
    <row r="17" spans="1:17" ht="13.5" thickBot="1" x14ac:dyDescent="0.25"/>
    <row r="18" spans="1:17" x14ac:dyDescent="0.2">
      <c r="A18" s="8" t="s">
        <v>5</v>
      </c>
      <c r="C18" s="4">
        <f>+C15</f>
        <v>50000.458955079012</v>
      </c>
      <c r="D18" s="5">
        <f>+C16</f>
        <v>0.79433994210116743</v>
      </c>
    </row>
    <row r="19" spans="1:17" ht="13.5" thickTop="1" x14ac:dyDescent="0.2">
      <c r="C19">
        <f>COUNT(C21:C2753)</f>
        <v>10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40</v>
      </c>
      <c r="J20" s="10" t="s">
        <v>41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17" x14ac:dyDescent="0.2">
      <c r="A21" s="17" t="s">
        <v>12</v>
      </c>
      <c r="B21" s="17"/>
      <c r="C21" s="17">
        <v>29456.511999999999</v>
      </c>
      <c r="D21" s="17"/>
      <c r="E21">
        <f t="shared" ref="E21:E30" si="0">+(C21-C$7)/C$8</f>
        <v>-25864.219312602294</v>
      </c>
      <c r="F21">
        <f t="shared" ref="F21:F30" si="1">ROUND(2*E21,0)/2</f>
        <v>-25864</v>
      </c>
      <c r="H21" s="30">
        <v>-0.17420000000129221</v>
      </c>
      <c r="O21">
        <f t="shared" ref="O21:O30" si="2">+C$11+C$12*F21</f>
        <v>-1.035507425582326</v>
      </c>
      <c r="Q21" s="2">
        <f t="shared" ref="Q21:Q30" si="3">+C21-15018.5</f>
        <v>14438.011999999999</v>
      </c>
    </row>
    <row r="22" spans="1:17" x14ac:dyDescent="0.2">
      <c r="A22" s="12" t="s">
        <v>33</v>
      </c>
      <c r="B22" s="12"/>
      <c r="C22" s="12">
        <v>50000.4614</v>
      </c>
      <c r="D22" s="12">
        <v>5.9999999999999995E-4</v>
      </c>
      <c r="E22">
        <f t="shared" si="0"/>
        <v>0</v>
      </c>
      <c r="F22">
        <f t="shared" si="1"/>
        <v>0</v>
      </c>
      <c r="G22">
        <f t="shared" ref="G22:G30" si="4">+C22-(C$7+F22*C$8)</f>
        <v>0</v>
      </c>
      <c r="I22">
        <f t="shared" ref="I22:I28" si="5">+G22</f>
        <v>0</v>
      </c>
      <c r="O22">
        <f t="shared" si="2"/>
        <v>-2.444920987301355E-3</v>
      </c>
      <c r="Q22" s="2">
        <f t="shared" si="3"/>
        <v>34981.9614</v>
      </c>
    </row>
    <row r="23" spans="1:17" x14ac:dyDescent="0.2">
      <c r="A23" s="12" t="s">
        <v>34</v>
      </c>
      <c r="B23" s="12"/>
      <c r="C23" s="12">
        <v>50773.347500000003</v>
      </c>
      <c r="D23" s="12">
        <v>2.8E-3</v>
      </c>
      <c r="E23">
        <f t="shared" si="0"/>
        <v>973.0405388392337</v>
      </c>
      <c r="F23">
        <f t="shared" si="1"/>
        <v>973</v>
      </c>
      <c r="G23">
        <f t="shared" si="4"/>
        <v>3.2200000001466833E-2</v>
      </c>
      <c r="I23">
        <f t="shared" si="5"/>
        <v>3.2200000001466833E-2</v>
      </c>
      <c r="O23">
        <f t="shared" si="2"/>
        <v>3.641874344863117E-2</v>
      </c>
      <c r="Q23" s="2">
        <f t="shared" si="3"/>
        <v>35754.847500000003</v>
      </c>
    </row>
    <row r="24" spans="1:17" x14ac:dyDescent="0.2">
      <c r="A24" s="12" t="s">
        <v>33</v>
      </c>
      <c r="B24" s="12"/>
      <c r="C24" s="12">
        <v>51043.423499999997</v>
      </c>
      <c r="D24" s="12">
        <v>5.9999999999999995E-4</v>
      </c>
      <c r="E24">
        <f t="shared" si="0"/>
        <v>1313.0581644214994</v>
      </c>
      <c r="F24">
        <f t="shared" si="1"/>
        <v>1313</v>
      </c>
      <c r="G24">
        <f t="shared" si="4"/>
        <v>4.6199999997043051E-2</v>
      </c>
      <c r="I24">
        <f t="shared" si="5"/>
        <v>4.6199999997043051E-2</v>
      </c>
      <c r="O24">
        <f t="shared" si="2"/>
        <v>4.9999057845565457E-2</v>
      </c>
      <c r="Q24" s="2">
        <f t="shared" si="3"/>
        <v>36024.923499999997</v>
      </c>
    </row>
    <row r="25" spans="1:17" x14ac:dyDescent="0.2">
      <c r="A25" s="12" t="s">
        <v>35</v>
      </c>
      <c r="B25" s="12"/>
      <c r="C25" s="11">
        <v>51468.401299999998</v>
      </c>
      <c r="D25" s="12">
        <v>4.0000000000000002E-4</v>
      </c>
      <c r="E25">
        <f t="shared" si="0"/>
        <v>1848.0925343069339</v>
      </c>
      <c r="F25">
        <f t="shared" si="1"/>
        <v>1848</v>
      </c>
      <c r="G25">
        <f t="shared" si="4"/>
        <v>7.3499999998603016E-2</v>
      </c>
      <c r="I25">
        <f t="shared" si="5"/>
        <v>7.3499999998603016E-2</v>
      </c>
      <c r="O25">
        <f t="shared" si="2"/>
        <v>7.1368081970153235E-2</v>
      </c>
      <c r="Q25" s="2">
        <f t="shared" si="3"/>
        <v>36449.901299999998</v>
      </c>
    </row>
    <row r="26" spans="1:17" x14ac:dyDescent="0.2">
      <c r="A26" s="18" t="s">
        <v>36</v>
      </c>
      <c r="B26" s="19" t="s">
        <v>37</v>
      </c>
      <c r="C26" s="20">
        <v>51773.427600000003</v>
      </c>
      <c r="D26" s="20">
        <v>1.4E-3</v>
      </c>
      <c r="E26">
        <f t="shared" si="0"/>
        <v>2232.1115447563925</v>
      </c>
      <c r="F26">
        <f t="shared" si="1"/>
        <v>2232</v>
      </c>
      <c r="G26">
        <f t="shared" si="4"/>
        <v>8.8600000002770685E-2</v>
      </c>
      <c r="I26">
        <f t="shared" si="5"/>
        <v>8.8600000002770685E-2</v>
      </c>
      <c r="O26">
        <f t="shared" si="2"/>
        <v>8.6705848818455486E-2</v>
      </c>
      <c r="Q26" s="2">
        <f t="shared" si="3"/>
        <v>36754.927600000003</v>
      </c>
    </row>
    <row r="27" spans="1:17" x14ac:dyDescent="0.2">
      <c r="A27" s="21" t="s">
        <v>36</v>
      </c>
      <c r="B27" s="6" t="s">
        <v>37</v>
      </c>
      <c r="C27" s="22">
        <v>51812.347099999999</v>
      </c>
      <c r="D27" s="22">
        <v>1E-3</v>
      </c>
      <c r="E27">
        <f t="shared" si="0"/>
        <v>2281.1100339921932</v>
      </c>
      <c r="F27">
        <f t="shared" si="1"/>
        <v>2281</v>
      </c>
      <c r="G27">
        <f t="shared" si="4"/>
        <v>8.7399999996705446E-2</v>
      </c>
      <c r="I27">
        <f t="shared" si="5"/>
        <v>8.7399999996705446E-2</v>
      </c>
      <c r="O27">
        <f t="shared" si="2"/>
        <v>8.8663011775660716E-2</v>
      </c>
      <c r="Q27" s="2">
        <f t="shared" si="3"/>
        <v>36793.847099999999</v>
      </c>
    </row>
    <row r="28" spans="1:17" x14ac:dyDescent="0.2">
      <c r="A28" s="21" t="s">
        <v>36</v>
      </c>
      <c r="B28" s="23" t="s">
        <v>37</v>
      </c>
      <c r="C28" s="22">
        <v>52120.550799999997</v>
      </c>
      <c r="D28" s="22">
        <v>1.2999999999999999E-3</v>
      </c>
      <c r="E28">
        <f t="shared" si="0"/>
        <v>2669.1292962356756</v>
      </c>
      <c r="F28">
        <f t="shared" si="1"/>
        <v>2669</v>
      </c>
      <c r="G28">
        <f t="shared" si="4"/>
        <v>0.10269999999582069</v>
      </c>
      <c r="I28">
        <f t="shared" si="5"/>
        <v>0.10269999999582069</v>
      </c>
      <c r="O28">
        <f t="shared" si="2"/>
        <v>0.10416054702863278</v>
      </c>
      <c r="Q28" s="2">
        <f t="shared" si="3"/>
        <v>37102.050799999997</v>
      </c>
    </row>
    <row r="29" spans="1:17" x14ac:dyDescent="0.2">
      <c r="A29" s="24" t="s">
        <v>38</v>
      </c>
      <c r="B29" s="25"/>
      <c r="C29" s="26">
        <v>52563.791599999997</v>
      </c>
      <c r="D29" s="25">
        <v>4.0000000000000002E-4</v>
      </c>
      <c r="E29">
        <f t="shared" si="0"/>
        <v>3227.1562381971507</v>
      </c>
      <c r="F29">
        <f t="shared" si="1"/>
        <v>3227</v>
      </c>
      <c r="G29">
        <f t="shared" si="4"/>
        <v>0.12409999999363208</v>
      </c>
      <c r="J29">
        <f>+G29</f>
        <v>0.12409999999363208</v>
      </c>
      <c r="O29">
        <f t="shared" si="2"/>
        <v>0.126448239480072</v>
      </c>
      <c r="Q29" s="2">
        <f t="shared" si="3"/>
        <v>37545.291599999997</v>
      </c>
    </row>
    <row r="30" spans="1:17" x14ac:dyDescent="0.2">
      <c r="A30" s="27" t="s">
        <v>39</v>
      </c>
      <c r="B30" s="28"/>
      <c r="C30" s="29">
        <v>51834.5965</v>
      </c>
      <c r="D30" s="29">
        <v>5.1999999999999998E-3</v>
      </c>
      <c r="E30">
        <f t="shared" si="0"/>
        <v>2309.1213647236555</v>
      </c>
      <c r="F30">
        <f t="shared" si="1"/>
        <v>2309</v>
      </c>
      <c r="G30">
        <f t="shared" si="4"/>
        <v>9.6400000002176967E-2</v>
      </c>
      <c r="I30">
        <f>+G30</f>
        <v>9.6400000002176967E-2</v>
      </c>
      <c r="O30">
        <f t="shared" si="2"/>
        <v>8.9781390608349429E-2</v>
      </c>
      <c r="Q30" s="2">
        <f t="shared" si="3"/>
        <v>36816.0965</v>
      </c>
    </row>
    <row r="31" spans="1:17" x14ac:dyDescent="0.2">
      <c r="D31" s="6"/>
      <c r="Q31" s="2"/>
    </row>
    <row r="32" spans="1:17" x14ac:dyDescent="0.2">
      <c r="D32" s="6"/>
      <c r="Q32" s="2"/>
    </row>
    <row r="33" spans="4:17" x14ac:dyDescent="0.2">
      <c r="D33" s="6"/>
      <c r="Q33" s="2"/>
    </row>
    <row r="34" spans="4:17" x14ac:dyDescent="0.2">
      <c r="D34" s="6"/>
    </row>
    <row r="35" spans="4:17" x14ac:dyDescent="0.2">
      <c r="D35" s="6"/>
    </row>
    <row r="36" spans="4:17" x14ac:dyDescent="0.2">
      <c r="D36" s="6"/>
    </row>
    <row r="37" spans="4:17" x14ac:dyDescent="0.2">
      <c r="D37" s="6"/>
    </row>
    <row r="38" spans="4:17" x14ac:dyDescent="0.2">
      <c r="D38" s="6"/>
    </row>
    <row r="39" spans="4:17" x14ac:dyDescent="0.2">
      <c r="D39" s="6"/>
    </row>
    <row r="40" spans="4:17" x14ac:dyDescent="0.2">
      <c r="D40" s="6"/>
    </row>
    <row r="41" spans="4:17" x14ac:dyDescent="0.2">
      <c r="D41" s="6"/>
    </row>
    <row r="42" spans="4:17" x14ac:dyDescent="0.2">
      <c r="D42" s="6"/>
    </row>
    <row r="43" spans="4:17" x14ac:dyDescent="0.2">
      <c r="D43" s="6"/>
    </row>
    <row r="44" spans="4:17" x14ac:dyDescent="0.2">
      <c r="D44" s="6"/>
    </row>
    <row r="45" spans="4:17" x14ac:dyDescent="0.2">
      <c r="D45" s="6"/>
    </row>
    <row r="46" spans="4:17" x14ac:dyDescent="0.2">
      <c r="D46" s="6"/>
    </row>
    <row r="47" spans="4:17" x14ac:dyDescent="0.2">
      <c r="D47" s="6"/>
    </row>
    <row r="48" spans="4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A (old)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2024-01-19T05:56:04Z</dcterms:modified>
</cp:coreProperties>
</file>