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F8324EE-1F2E-47A9-8DBE-B59D3A3175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2" i="1" l="1"/>
  <c r="Q73" i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2" i="1"/>
  <c r="Q53" i="1"/>
  <c r="Q60" i="1"/>
  <c r="Q61" i="1"/>
  <c r="Q62" i="1"/>
  <c r="Q63" i="1"/>
  <c r="Q67" i="1"/>
  <c r="Q68" i="1"/>
  <c r="Q69" i="1"/>
  <c r="Q70" i="1"/>
  <c r="G30" i="2"/>
  <c r="C30" i="2"/>
  <c r="C7" i="1"/>
  <c r="E72" i="1"/>
  <c r="F72" i="1"/>
  <c r="C8" i="1"/>
  <c r="G59" i="2"/>
  <c r="C59" i="2"/>
  <c r="G58" i="2"/>
  <c r="C58" i="2"/>
  <c r="G57" i="2"/>
  <c r="C57" i="2"/>
  <c r="G56" i="2"/>
  <c r="C56" i="2"/>
  <c r="G29" i="2"/>
  <c r="C29" i="2"/>
  <c r="G28" i="2"/>
  <c r="C28" i="2"/>
  <c r="G27" i="2"/>
  <c r="C27" i="2"/>
  <c r="G55" i="2"/>
  <c r="C55" i="2"/>
  <c r="G54" i="2"/>
  <c r="C54" i="2"/>
  <c r="G53" i="2"/>
  <c r="C53" i="2"/>
  <c r="G52" i="2"/>
  <c r="C52" i="2"/>
  <c r="G26" i="2"/>
  <c r="C26" i="2"/>
  <c r="G25" i="2"/>
  <c r="C25" i="2"/>
  <c r="G24" i="2"/>
  <c r="C24" i="2"/>
  <c r="G23" i="2"/>
  <c r="C23" i="2"/>
  <c r="G22" i="2"/>
  <c r="C22" i="2"/>
  <c r="G21" i="2"/>
  <c r="C21" i="2"/>
  <c r="G51" i="2"/>
  <c r="C5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50" i="2"/>
  <c r="C50" i="2"/>
  <c r="G49" i="2"/>
  <c r="C49" i="2"/>
  <c r="G11" i="2"/>
  <c r="C11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30" i="2"/>
  <c r="B30" i="2"/>
  <c r="D30" i="2"/>
  <c r="A3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29" i="2"/>
  <c r="D29" i="2"/>
  <c r="B29" i="2"/>
  <c r="A29" i="2"/>
  <c r="H28" i="2"/>
  <c r="B28" i="2"/>
  <c r="D28" i="2"/>
  <c r="A28" i="2"/>
  <c r="H27" i="2"/>
  <c r="D27" i="2"/>
  <c r="B27" i="2"/>
  <c r="A27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51" i="2"/>
  <c r="B51" i="2"/>
  <c r="D51" i="2"/>
  <c r="A5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50" i="2"/>
  <c r="B50" i="2"/>
  <c r="D50" i="2"/>
  <c r="A50" i="2"/>
  <c r="H49" i="2"/>
  <c r="D49" i="2"/>
  <c r="B49" i="2"/>
  <c r="A49" i="2"/>
  <c r="H11" i="2"/>
  <c r="B11" i="2"/>
  <c r="D11" i="2"/>
  <c r="A11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Q64" i="1"/>
  <c r="C17" i="1"/>
  <c r="F16" i="1"/>
  <c r="F17" i="1" s="1"/>
  <c r="Q54" i="1"/>
  <c r="Q55" i="1"/>
  <c r="Q56" i="1"/>
  <c r="Q57" i="1"/>
  <c r="Q58" i="1"/>
  <c r="Q59" i="1"/>
  <c r="Q65" i="1"/>
  <c r="Q66" i="1"/>
  <c r="Q71" i="1"/>
  <c r="Q50" i="1"/>
  <c r="Q51" i="1"/>
  <c r="Q47" i="1"/>
  <c r="Q52" i="1"/>
  <c r="Q44" i="1"/>
  <c r="Q45" i="1"/>
  <c r="Q46" i="1"/>
  <c r="Q40" i="1"/>
  <c r="Q43" i="1"/>
  <c r="Q48" i="1"/>
  <c r="Q49" i="1"/>
  <c r="Q23" i="1"/>
  <c r="E50" i="2"/>
  <c r="E34" i="2"/>
  <c r="E11" i="2"/>
  <c r="E39" i="2"/>
  <c r="E55" i="2"/>
  <c r="E57" i="2"/>
  <c r="E14" i="2"/>
  <c r="E19" i="2"/>
  <c r="E20" i="2"/>
  <c r="E27" i="2"/>
  <c r="E59" i="2"/>
  <c r="E33" i="2"/>
  <c r="E45" i="2"/>
  <c r="E49" i="2"/>
  <c r="E32" i="2"/>
  <c r="G65" i="1"/>
  <c r="J65" i="1"/>
  <c r="E66" i="1"/>
  <c r="F66" i="1"/>
  <c r="G52" i="1"/>
  <c r="E50" i="1"/>
  <c r="F50" i="1"/>
  <c r="U40" i="1"/>
  <c r="S40" i="1"/>
  <c r="E48" i="1"/>
  <c r="F48" i="1"/>
  <c r="E42" i="1"/>
  <c r="F42" i="1"/>
  <c r="G35" i="1"/>
  <c r="E33" i="1"/>
  <c r="F33" i="1"/>
  <c r="G33" i="1"/>
  <c r="G27" i="1"/>
  <c r="E25" i="1"/>
  <c r="F25" i="1"/>
  <c r="G71" i="1"/>
  <c r="J71" i="1"/>
  <c r="E69" i="1"/>
  <c r="F69" i="1"/>
  <c r="G69" i="1"/>
  <c r="K69" i="1"/>
  <c r="E58" i="1"/>
  <c r="F58" i="1"/>
  <c r="G58" i="1"/>
  <c r="J58" i="1"/>
  <c r="G46" i="1"/>
  <c r="E44" i="1"/>
  <c r="F44" i="1"/>
  <c r="E63" i="1"/>
  <c r="F63" i="1"/>
  <c r="G41" i="1"/>
  <c r="E38" i="1"/>
  <c r="F38" i="1"/>
  <c r="G38" i="1"/>
  <c r="E30" i="1"/>
  <c r="F30" i="1"/>
  <c r="G30" i="1"/>
  <c r="G24" i="1"/>
  <c r="G68" i="1"/>
  <c r="K68" i="1"/>
  <c r="E65" i="1"/>
  <c r="F65" i="1"/>
  <c r="E52" i="1"/>
  <c r="F52" i="1"/>
  <c r="E40" i="1"/>
  <c r="F40" i="1"/>
  <c r="G62" i="1"/>
  <c r="K62" i="1"/>
  <c r="E60" i="1"/>
  <c r="F60" i="1"/>
  <c r="G60" i="1"/>
  <c r="K60" i="1"/>
  <c r="G37" i="1"/>
  <c r="E35" i="1"/>
  <c r="F35" i="1"/>
  <c r="E27" i="1"/>
  <c r="F27" i="1"/>
  <c r="E21" i="1"/>
  <c r="F21" i="1"/>
  <c r="G21" i="1"/>
  <c r="E71" i="1"/>
  <c r="F71" i="1"/>
  <c r="G64" i="1"/>
  <c r="E59" i="1"/>
  <c r="F59" i="1"/>
  <c r="G59" i="1"/>
  <c r="J59" i="1"/>
  <c r="G51" i="1"/>
  <c r="E46" i="1"/>
  <c r="F46" i="1"/>
  <c r="G49" i="1"/>
  <c r="E43" i="1"/>
  <c r="F43" i="1"/>
  <c r="U43" i="1"/>
  <c r="S43" i="1"/>
  <c r="E41" i="1"/>
  <c r="F41" i="1"/>
  <c r="G34" i="1"/>
  <c r="E32" i="1"/>
  <c r="F32" i="1"/>
  <c r="G32" i="1"/>
  <c r="G26" i="1"/>
  <c r="E24" i="1"/>
  <c r="F24" i="1"/>
  <c r="G70" i="1"/>
  <c r="K70" i="1"/>
  <c r="E68" i="1"/>
  <c r="F68" i="1"/>
  <c r="E57" i="1"/>
  <c r="F57" i="1"/>
  <c r="G57" i="1"/>
  <c r="J57" i="1"/>
  <c r="G45" i="1"/>
  <c r="E47" i="1"/>
  <c r="F47" i="1"/>
  <c r="G47" i="1"/>
  <c r="E62" i="1"/>
  <c r="F62" i="1"/>
  <c r="E37" i="1"/>
  <c r="F37" i="1"/>
  <c r="E29" i="1"/>
  <c r="F29" i="1"/>
  <c r="G29" i="1"/>
  <c r="G22" i="1"/>
  <c r="G54" i="1"/>
  <c r="E64" i="1"/>
  <c r="F64" i="1"/>
  <c r="E51" i="1"/>
  <c r="F51" i="1"/>
  <c r="E49" i="1"/>
  <c r="F49" i="1"/>
  <c r="G61" i="1"/>
  <c r="K61" i="1"/>
  <c r="E53" i="1"/>
  <c r="F53" i="1"/>
  <c r="G53" i="1"/>
  <c r="G36" i="1"/>
  <c r="E34" i="1"/>
  <c r="F34" i="1"/>
  <c r="E26" i="1"/>
  <c r="F26" i="1"/>
  <c r="E70" i="1"/>
  <c r="F70" i="1"/>
  <c r="G72" i="1"/>
  <c r="K72" i="1"/>
  <c r="G66" i="1"/>
  <c r="K66" i="1"/>
  <c r="E55" i="1"/>
  <c r="F55" i="1"/>
  <c r="G55" i="1"/>
  <c r="G50" i="1"/>
  <c r="E45" i="1"/>
  <c r="F45" i="1"/>
  <c r="G48" i="1"/>
  <c r="E67" i="1"/>
  <c r="F67" i="1"/>
  <c r="G67" i="1"/>
  <c r="K67" i="1"/>
  <c r="G42" i="1"/>
  <c r="E39" i="1"/>
  <c r="F39" i="1"/>
  <c r="G39" i="1"/>
  <c r="E31" i="1"/>
  <c r="F31" i="1"/>
  <c r="G31" i="1"/>
  <c r="G25" i="1"/>
  <c r="E22" i="1"/>
  <c r="F22" i="1"/>
  <c r="E54" i="1"/>
  <c r="F54" i="1"/>
  <c r="E56" i="1"/>
  <c r="F56" i="1"/>
  <c r="G56" i="1"/>
  <c r="K56" i="1"/>
  <c r="G44" i="1"/>
  <c r="E23" i="1"/>
  <c r="F23" i="1"/>
  <c r="G23" i="1"/>
  <c r="H23" i="1"/>
  <c r="G63" i="1"/>
  <c r="K63" i="1"/>
  <c r="E61" i="1"/>
  <c r="F61" i="1"/>
  <c r="E36" i="1"/>
  <c r="F36" i="1"/>
  <c r="E28" i="1"/>
  <c r="F28" i="1"/>
  <c r="G28" i="1"/>
  <c r="E73" i="1"/>
  <c r="F73" i="1"/>
  <c r="G73" i="1"/>
  <c r="K73" i="1"/>
  <c r="S39" i="1"/>
  <c r="K39" i="1"/>
  <c r="S28" i="1"/>
  <c r="I28" i="1"/>
  <c r="K53" i="1"/>
  <c r="S53" i="1"/>
  <c r="J55" i="1"/>
  <c r="S55" i="1"/>
  <c r="I32" i="1"/>
  <c r="S32" i="1"/>
  <c r="I33" i="1"/>
  <c r="S33" i="1"/>
  <c r="I21" i="1"/>
  <c r="S21" i="1"/>
  <c r="I30" i="1"/>
  <c r="S30" i="1"/>
  <c r="I29" i="1"/>
  <c r="S29" i="1"/>
  <c r="I38" i="1"/>
  <c r="S38" i="1"/>
  <c r="S31" i="1"/>
  <c r="I31" i="1"/>
  <c r="J47" i="1"/>
  <c r="S47" i="1"/>
  <c r="S54" i="1"/>
  <c r="K54" i="1"/>
  <c r="S22" i="1"/>
  <c r="I22" i="1"/>
  <c r="I24" i="1"/>
  <c r="S24" i="1"/>
  <c r="J46" i="1"/>
  <c r="S46" i="1"/>
  <c r="J64" i="1"/>
  <c r="E13" i="2"/>
  <c r="S48" i="1"/>
  <c r="I48" i="1"/>
  <c r="K41" i="1"/>
  <c r="S41" i="1"/>
  <c r="E30" i="2"/>
  <c r="E43" i="2"/>
  <c r="E37" i="2"/>
  <c r="E17" i="2"/>
  <c r="E41" i="2"/>
  <c r="E54" i="2"/>
  <c r="S36" i="1"/>
  <c r="I36" i="1"/>
  <c r="J45" i="1"/>
  <c r="S45" i="1"/>
  <c r="E42" i="2"/>
  <c r="E31" i="2"/>
  <c r="I49" i="1"/>
  <c r="S49" i="1"/>
  <c r="E52" i="2"/>
  <c r="E28" i="2"/>
  <c r="E58" i="2"/>
  <c r="E46" i="2"/>
  <c r="E35" i="2"/>
  <c r="E23" i="2"/>
  <c r="S44" i="1"/>
  <c r="J44" i="1"/>
  <c r="I35" i="1"/>
  <c r="S35" i="1"/>
  <c r="E56" i="2"/>
  <c r="I25" i="1"/>
  <c r="S25" i="1"/>
  <c r="S50" i="1"/>
  <c r="J50" i="1"/>
  <c r="E22" i="2"/>
  <c r="E25" i="2"/>
  <c r="E24" i="2"/>
  <c r="E44" i="2"/>
  <c r="E53" i="2"/>
  <c r="E12" i="2"/>
  <c r="I26" i="1"/>
  <c r="S26" i="1"/>
  <c r="S51" i="1"/>
  <c r="J51" i="1"/>
  <c r="I37" i="1"/>
  <c r="S37" i="1"/>
  <c r="I27" i="1"/>
  <c r="S27" i="1"/>
  <c r="S52" i="1"/>
  <c r="J52" i="1"/>
  <c r="E38" i="2"/>
  <c r="E40" i="2"/>
  <c r="E47" i="2"/>
  <c r="I34" i="1"/>
  <c r="S34" i="1"/>
  <c r="E48" i="2"/>
  <c r="K42" i="1"/>
  <c r="S42" i="1"/>
  <c r="E29" i="2"/>
  <c r="E26" i="2"/>
  <c r="E15" i="2"/>
  <c r="E36" i="2"/>
  <c r="E18" i="2"/>
  <c r="E16" i="2"/>
  <c r="E21" i="2"/>
  <c r="E51" i="2"/>
  <c r="S15" i="1"/>
  <c r="C11" i="1"/>
  <c r="C12" i="1"/>
  <c r="C16" i="1" l="1"/>
  <c r="D18" i="1" s="1"/>
  <c r="O61" i="1"/>
  <c r="S61" i="1" s="1"/>
  <c r="O57" i="1"/>
  <c r="S57" i="1" s="1"/>
  <c r="O67" i="1"/>
  <c r="S67" i="1" s="1"/>
  <c r="O69" i="1"/>
  <c r="S69" i="1" s="1"/>
  <c r="O73" i="1"/>
  <c r="S73" i="1" s="1"/>
  <c r="C15" i="1"/>
  <c r="O64" i="1"/>
  <c r="S64" i="1" s="1"/>
  <c r="O62" i="1"/>
  <c r="S62" i="1" s="1"/>
  <c r="O71" i="1"/>
  <c r="S71" i="1" s="1"/>
  <c r="O65" i="1"/>
  <c r="S65" i="1" s="1"/>
  <c r="O56" i="1"/>
  <c r="S56" i="1" s="1"/>
  <c r="S16" i="1" s="1"/>
  <c r="O58" i="1"/>
  <c r="S58" i="1" s="1"/>
  <c r="O70" i="1"/>
  <c r="S70" i="1" s="1"/>
  <c r="O63" i="1"/>
  <c r="S63" i="1" s="1"/>
  <c r="O59" i="1"/>
  <c r="S59" i="1" s="1"/>
  <c r="O60" i="1"/>
  <c r="S60" i="1" s="1"/>
  <c r="O68" i="1"/>
  <c r="S68" i="1" s="1"/>
  <c r="O66" i="1"/>
  <c r="S66" i="1" s="1"/>
  <c r="O72" i="1"/>
  <c r="S72" i="1" s="1"/>
  <c r="C18" i="1" l="1"/>
  <c r="F18" i="1"/>
  <c r="F19" i="1" s="1"/>
</calcChain>
</file>

<file path=xl/sharedStrings.xml><?xml version="1.0" encoding="utf-8"?>
<sst xmlns="http://schemas.openxmlformats.org/spreadsheetml/2006/main" count="580" uniqueCount="274">
  <si>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</si>
  <si>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</si>
  <si>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</si>
  <si>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</si>
  <si>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</si>
  <si>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</si>
  <si>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</si>
  <si>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</si>
  <si>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</si>
  <si>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</si>
  <si>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</si>
  <si>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</si>
  <si>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</si>
  <si>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</si>
  <si>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</si>
  <si>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</si>
  <si>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</si>
  <si>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</si>
  <si>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</si>
  <si>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</si>
  <si>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</si>
  <si>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</si>
  <si>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</si>
  <si>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</si>
  <si>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</si>
  <si>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</si>
  <si>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</si>
  <si>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</si>
  <si>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</si>
  <si>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 Bull.96</t>
  </si>
  <si>
    <t>BBSAG Bull.107</t>
  </si>
  <si>
    <t>BBSAG Bull.116</t>
  </si>
  <si>
    <t>IBVS 5484</t>
  </si>
  <si>
    <t>IBVS 5016</t>
  </si>
  <si>
    <t>IBVS 4472</t>
  </si>
  <si>
    <t>IBVS 5296</t>
  </si>
  <si>
    <t>II</t>
  </si>
  <si>
    <r>
      <t>Sum 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</si>
  <si>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RMS dev'n</t>
  </si>
  <si>
    <t>EB</t>
  </si>
  <si>
    <t>SUMMARY OUTPUT</t>
  </si>
  <si>
    <t>F</t>
  </si>
  <si>
    <t># of data points:</t>
  </si>
  <si>
    <t>IBVS 5657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</si>
  <si>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</si>
  <si>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</si>
  <si>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</si>
  <si>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</si>
  <si>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</si>
  <si>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</si>
  <si>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</si>
  <si>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</si>
  <si>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</si>
  <si>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</si>
  <si>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OEJV 0074</t>
  </si>
  <si>
    <t>Add cycle</t>
  </si>
  <si>
    <t>Old Cycle</t>
  </si>
  <si>
    <t>IBVS 5960</t>
  </si>
  <si>
    <t>IBVS 6010</t>
  </si>
  <si>
    <t>IBVS 6118</t>
  </si>
  <si>
    <t>V0359 Cas / GSC 4008-1283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</si>
  <si>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</si>
  <si>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</si>
  <si>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</si>
  <si>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</si>
  <si>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</si>
  <si>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</si>
  <si>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</si>
  <si>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</si>
  <si>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</si>
  <si>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</si>
  <si>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</si>
  <si>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F </t>
  </si>
  <si>
    <t>2427955.506 </t>
  </si>
  <si>
    <t> 02.06.1935 00:08 </t>
  </si>
  <si>
    <t> -0.030 </t>
  </si>
  <si>
    <t>P </t>
  </si>
  <si>
    <t> H.Huth </t>
  </si>
  <si>
    <t> VSS 4.170 </t>
  </si>
  <si>
    <t>2429079.463 </t>
  </si>
  <si>
    <t> 29.06.1938 23:06 </t>
  </si>
  <si>
    <t> -0.017 </t>
  </si>
  <si>
    <t>2429109.494 </t>
  </si>
  <si>
    <t> 29.07.1938 23:51 </t>
  </si>
  <si>
    <t> 0.025 </t>
  </si>
  <si>
    <t>2429130.412 </t>
  </si>
  <si>
    <t> 19.08.1938 21:53 </t>
  </si>
  <si>
    <t> 0.081 </t>
  </si>
  <si>
    <t>2429160.353 </t>
  </si>
  <si>
    <t> 18.09.1938 20:28 </t>
  </si>
  <si>
    <t> 0.033 </t>
  </si>
  <si>
    <t>2430173.495 </t>
  </si>
  <si>
    <t> 27.06.1941 23:52 </t>
  </si>
  <si>
    <t> 0.061 </t>
  </si>
  <si>
    <t>2430259.510 </t>
  </si>
  <si>
    <t> 22.09.1941 00:14 </t>
  </si>
  <si>
    <t> 0.020 </t>
  </si>
  <si>
    <t>2430576.409 </t>
  </si>
  <si>
    <t> 04.08.1942 21:48 </t>
  </si>
  <si>
    <t> 0.076 </t>
  </si>
  <si>
    <t>2431001.439 </t>
  </si>
  <si>
    <t> 03.10.1943 22:32 </t>
  </si>
  <si>
    <t> 0.041 </t>
  </si>
  <si>
    <t>2431267.463 </t>
  </si>
  <si>
    <t> 25.06.1944 23:06 </t>
  </si>
  <si>
    <t> 0.074 </t>
  </si>
  <si>
    <t>2431344.388 </t>
  </si>
  <si>
    <t> 10.09.1944 21:18 </t>
  </si>
  <si>
    <t> 0.070 </t>
  </si>
  <si>
    <t>2431353.413 </t>
  </si>
  <si>
    <t> 19.09.1944 21:54 </t>
  </si>
  <si>
    <t> -0.032 </t>
  </si>
  <si>
    <t>2431413.428 </t>
  </si>
  <si>
    <t> 18.11.1944 22:16 </t>
  </si>
  <si>
    <t> 0.005 </t>
  </si>
  <si>
    <t>2431645.455 </t>
  </si>
  <si>
    <t> 08.07.1945 22:55 </t>
  </si>
  <si>
    <t> -0.059 </t>
  </si>
  <si>
    <t>2433914.313 </t>
  </si>
  <si>
    <t> 24.09.1951 19:30 </t>
  </si>
  <si>
    <t> 0.050 </t>
  </si>
  <si>
    <t>2433923.373 </t>
  </si>
  <si>
    <t> 03.10.1951 20:57 </t>
  </si>
  <si>
    <t>2433928.584 </t>
  </si>
  <si>
    <t> 09.10.1951 02:00 </t>
  </si>
  <si>
    <t> -0.022 </t>
  </si>
  <si>
    <t>2447139.605 </t>
  </si>
  <si>
    <t> 10.12.1987 02:31 </t>
  </si>
  <si>
    <t> 0.097 </t>
  </si>
  <si>
    <t> P.Frank </t>
  </si>
  <si>
    <t>BAVM 79 </t>
  </si>
  <si>
    <t>2448096.532 </t>
  </si>
  <si>
    <t> 24.07.1990 00:46 </t>
  </si>
  <si>
    <t> -0.023 </t>
  </si>
  <si>
    <t>V </t>
  </si>
  <si>
    <t> J.Vandenbroere </t>
  </si>
  <si>
    <t> BBS 96 </t>
  </si>
  <si>
    <t>2448503.501 </t>
  </si>
  <si>
    <t> 04.09.1991 00:01 </t>
  </si>
  <si>
    <t> 0.136 </t>
  </si>
  <si>
    <t>2448539.387 </t>
  </si>
  <si>
    <t> 09.10.1991 21:17 </t>
  </si>
  <si>
    <t> 0.165 </t>
  </si>
  <si>
    <t>2449310.395 </t>
  </si>
  <si>
    <t> 18.11.1993 21:28 </t>
  </si>
  <si>
    <t> -0.072 </t>
  </si>
  <si>
    <t> BBS 107 </t>
  </si>
  <si>
    <t>2449615.712 </t>
  </si>
  <si>
    <t> 20.09.1994 05:05 </t>
  </si>
  <si>
    <t> 0.138 </t>
  </si>
  <si>
    <t>E </t>
  </si>
  <si>
    <t>o</t>
  </si>
  <si>
    <t> F.Agerer </t>
  </si>
  <si>
    <t>BAVM 132 </t>
  </si>
  <si>
    <t>2449627.4502 </t>
  </si>
  <si>
    <t> 01.10.1994 22:48 </t>
  </si>
  <si>
    <t> 0.1410 </t>
  </si>
  <si>
    <t>2449644.3991 </t>
  </si>
  <si>
    <t> 18.10.1994 21:34 </t>
  </si>
  <si>
    <t> 0.1395 </t>
  </si>
  <si>
    <t> W.Moschner </t>
  </si>
  <si>
    <t>2450344.5852 </t>
  </si>
  <si>
    <t> 18.09.1996 02:02 </t>
  </si>
  <si>
    <t> 0.1426 </t>
  </si>
  <si>
    <t>BAVM 99 </t>
  </si>
  <si>
    <t>2450636.596 </t>
  </si>
  <si>
    <t> 07.07.1997 02:18 </t>
  </si>
  <si>
    <t> 0.084 </t>
  </si>
  <si>
    <t> BBS 116 </t>
  </si>
  <si>
    <t>2450717.475 </t>
  </si>
  <si>
    <t> 25.09.1997 23:24 </t>
  </si>
  <si>
    <t> 0.123 </t>
  </si>
  <si>
    <t>2451766.4568 </t>
  </si>
  <si>
    <t> 09.08.2000 22:57 </t>
  </si>
  <si>
    <t> 0.1341 </t>
  </si>
  <si>
    <t>BAVM 152 </t>
  </si>
  <si>
    <t>2452122.4144 </t>
  </si>
  <si>
    <t> 31.07.2001 21:56 </t>
  </si>
  <si>
    <t> 0.1328 </t>
  </si>
  <si>
    <t>2452146.5334 </t>
  </si>
  <si>
    <t> 25.08.2001 00:48 </t>
  </si>
  <si>
    <t> 0.1300 </t>
  </si>
  <si>
    <t> Moschner&amp;Frank </t>
  </si>
  <si>
    <t>BAVM 158 </t>
  </si>
  <si>
    <t>2452146.53513 </t>
  </si>
  <si>
    <t> 25.08.2001 00:50 </t>
  </si>
  <si>
    <t> 0.13174 </t>
  </si>
  <si>
    <t>C </t>
  </si>
  <si>
    <t> J.Šafár </t>
  </si>
  <si>
    <t>OEJV 0074 </t>
  </si>
  <si>
    <t>2452180.4351 </t>
  </si>
  <si>
    <t> 27.09.2001 22:26 </t>
  </si>
  <si>
    <t> 0.1309 </t>
  </si>
  <si>
    <t>BAVM 183 </t>
  </si>
  <si>
    <t>2453283.5076 </t>
  </si>
  <si>
    <t> 05.10.2004 00:10 </t>
  </si>
  <si>
    <t> 0.1217 </t>
  </si>
  <si>
    <t>?</t>
  </si>
  <si>
    <t> R.Diethelm </t>
  </si>
  <si>
    <t>IBVS 5653 </t>
  </si>
  <si>
    <t>2453349.3561 </t>
  </si>
  <si>
    <t> 09.12.2004 20:32 </t>
  </si>
  <si>
    <t> 0.1243 </t>
  </si>
  <si>
    <t>-I</t>
  </si>
  <si>
    <t>BAVM 173 </t>
  </si>
  <si>
    <t>2453656.4147 </t>
  </si>
  <si>
    <t> 12.10.2005 21:57 </t>
  </si>
  <si>
    <t>18849</t>
  </si>
  <si>
    <t> 0.1194 </t>
  </si>
  <si>
    <t>BAVM 178 </t>
  </si>
  <si>
    <t>2454017.5906 </t>
  </si>
  <si>
    <t> 09.10.2006 02:10 </t>
  </si>
  <si>
    <t>19126</t>
  </si>
  <si>
    <t> 0.1208 </t>
  </si>
  <si>
    <t>2455072.4352 </t>
  </si>
  <si>
    <t> 28.08.2009 22:26 </t>
  </si>
  <si>
    <t>19935</t>
  </si>
  <si>
    <t> 0.1273 </t>
  </si>
  <si>
    <t> Moschner &amp; Frank </t>
  </si>
  <si>
    <t>BAVM 212 </t>
  </si>
  <si>
    <t>2455074.3880 </t>
  </si>
  <si>
    <t> 30.08.2009 21:18 </t>
  </si>
  <si>
    <t>19936.5</t>
  </si>
  <si>
    <t>2455076.3472 </t>
  </si>
  <si>
    <t> 01.09.2009 20:19 </t>
  </si>
  <si>
    <t>19938</t>
  </si>
  <si>
    <t> 0.1277 </t>
  </si>
  <si>
    <t>2455098.5146 </t>
  </si>
  <si>
    <t> 24.09.2009 00:21 </t>
  </si>
  <si>
    <t>19955</t>
  </si>
  <si>
    <t> 0.1292 </t>
  </si>
  <si>
    <t>2455409.4955 </t>
  </si>
  <si>
    <t> 31.07.2010 23:53 </t>
  </si>
  <si>
    <t>20193.5</t>
  </si>
  <si>
    <t> 0.1349 </t>
  </si>
  <si>
    <t>BAVM 215 </t>
  </si>
  <si>
    <t>2455495.5532 </t>
  </si>
  <si>
    <t> 26.10.2010 01:16 </t>
  </si>
  <si>
    <t>20259.5</t>
  </si>
  <si>
    <t> 0.1366 </t>
  </si>
  <si>
    <t> M.&amp; K.Rätz </t>
  </si>
  <si>
    <t>BAVM 220 </t>
  </si>
  <si>
    <t>2455502.7235 </t>
  </si>
  <si>
    <t> 02.11.2010 05:21 </t>
  </si>
  <si>
    <t>20265</t>
  </si>
  <si>
    <t> 0.1356 </t>
  </si>
  <si>
    <t>IBVS 5960 </t>
  </si>
  <si>
    <t>2455838.4792 </t>
  </si>
  <si>
    <t> 03.10.2011 23:30 </t>
  </si>
  <si>
    <t>20522.5</t>
  </si>
  <si>
    <t> 0.1424 </t>
  </si>
  <si>
    <t>BAVM 225 </t>
  </si>
  <si>
    <t>2455849.5615 </t>
  </si>
  <si>
    <t> 15.10.2011 01:28 </t>
  </si>
  <si>
    <t>20531</t>
  </si>
  <si>
    <t> 0.1418 </t>
  </si>
  <si>
    <t>-U;-I</t>
  </si>
  <si>
    <t>2455874.3362 </t>
  </si>
  <si>
    <t> 08.11.2011 20:04 </t>
  </si>
  <si>
    <t>20550</t>
  </si>
  <si>
    <t> 0.1427 </t>
  </si>
  <si>
    <t> W.Moschner &amp; P.Frank </t>
  </si>
  <si>
    <t>2455874.3363 </t>
  </si>
  <si>
    <t> 0.1428 </t>
  </si>
  <si>
    <t>2456132.512 </t>
  </si>
  <si>
    <t> 24.07.2012 00:17 </t>
  </si>
  <si>
    <t>20748</t>
  </si>
  <si>
    <t> 0.151 </t>
  </si>
  <si>
    <t>BAVM 234 </t>
  </si>
  <si>
    <t>BAD?</t>
  </si>
  <si>
    <t>CCD?</t>
  </si>
  <si>
    <t>vis / CCD</t>
  </si>
  <si>
    <t>2020JAVSO..48….1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</si>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</sst>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5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1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1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Border="1" applyAlignment="1"/>
    <xf numFmtId="0" fontId="1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V359 Cas - O-C Diagr.</a:t>
            </a:r>
          </a:p>
        </c:rich>
      </c:tx>
      <c:layout>
        <c:manualLayout>
          <c:xMode val="edge"/>
          <c:yMode val="edge"/>
          <c:x val="0.3526321315098770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4634168126798494"/>
          <c:w val="0.7947382037044333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A9-4D78-B9D0-8775105157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-3.0301999999210238E-2</c:v>
                </c:pt>
                <c:pt idx="1">
                  <c:v>-1.6999999999825377E-2</c:v>
                </c:pt>
                <c:pt idx="3">
                  <c:v>2.4783000000752509E-2</c:v>
                </c:pt>
                <c:pt idx="4">
                  <c:v>8.0719000001408858E-2</c:v>
                </c:pt>
                <c:pt idx="5">
                  <c:v>3.2501999998203246E-2</c:v>
                </c:pt>
                <c:pt idx="6">
                  <c:v>6.0518999998748768E-2</c:v>
                </c:pt>
                <c:pt idx="7">
                  <c:v>1.9505000000208383E-2</c:v>
                </c:pt>
                <c:pt idx="8">
                  <c:v>7.5907999998889863E-2</c:v>
                </c:pt>
                <c:pt idx="9">
                  <c:v>4.135399999722722E-2</c:v>
                </c:pt>
                <c:pt idx="10">
                  <c:v>7.4037999998836312E-2</c:v>
                </c:pt>
                <c:pt idx="11">
                  <c:v>7.017700000142213E-2</c:v>
                </c:pt>
                <c:pt idx="12">
                  <c:v>-3.19759999983944E-2</c:v>
                </c:pt>
                <c:pt idx="13">
                  <c:v>4.5900000004621688E-3</c:v>
                </c:pt>
                <c:pt idx="14">
                  <c:v>-5.8871999997791136E-2</c:v>
                </c:pt>
                <c:pt idx="15">
                  <c:v>4.9667999999655876E-2</c:v>
                </c:pt>
                <c:pt idx="16">
                  <c:v>-1.7484999996668193E-2</c:v>
                </c:pt>
                <c:pt idx="17">
                  <c:v>-2.2000999997544568E-2</c:v>
                </c:pt>
                <c:pt idx="27">
                  <c:v>8.4492999994836282E-2</c:v>
                </c:pt>
                <c:pt idx="28">
                  <c:v>0.12299499999789987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A9-4D78-B9D0-8775105157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0.13774999999441206</c:v>
                </c:pt>
                <c:pt idx="24">
                  <c:v>0.14103900000191061</c:v>
                </c:pt>
                <c:pt idx="25">
                  <c:v>0.1395120000015595</c:v>
                </c:pt>
                <c:pt idx="26">
                  <c:v>0.14258900000277208</c:v>
                </c:pt>
                <c:pt idx="29">
                  <c:v>0.13413950000540353</c:v>
                </c:pt>
                <c:pt idx="30">
                  <c:v>0.13277250000101048</c:v>
                </c:pt>
                <c:pt idx="31">
                  <c:v>0.12991100000363076</c:v>
                </c:pt>
                <c:pt idx="34">
                  <c:v>0.13085700000374345</c:v>
                </c:pt>
                <c:pt idx="36">
                  <c:v>0.12433349999628263</c:v>
                </c:pt>
                <c:pt idx="37">
                  <c:v>0.11942900000576628</c:v>
                </c:pt>
                <c:pt idx="38">
                  <c:v>0.12084599999798229</c:v>
                </c:pt>
                <c:pt idx="43">
                  <c:v>0.13491349999821978</c:v>
                </c:pt>
                <c:pt idx="44">
                  <c:v>0.13659950000146637</c:v>
                </c:pt>
                <c:pt idx="50">
                  <c:v>0.15050800000608433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A9-4D78-B9D0-8775105157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9.6970999999030028E-2</c:v>
                </c:pt>
                <c:pt idx="20">
                  <c:v>0.13553700000193203</c:v>
                </c:pt>
                <c:pt idx="21">
                  <c:v>0.16486450000229524</c:v>
                </c:pt>
                <c:pt idx="32">
                  <c:v>0.13001100000110455</c:v>
                </c:pt>
                <c:pt idx="33">
                  <c:v>0.13174099999741884</c:v>
                </c:pt>
                <c:pt idx="35">
                  <c:v>0.12172299999656389</c:v>
                </c:pt>
                <c:pt idx="39">
                  <c:v>0.12733500000467757</c:v>
                </c:pt>
                <c:pt idx="40">
                  <c:v>0.12431649999780348</c:v>
                </c:pt>
                <c:pt idx="41">
                  <c:v>0.12769799999659881</c:v>
                </c:pt>
                <c:pt idx="42">
                  <c:v>0.12915500000235625</c:v>
                </c:pt>
                <c:pt idx="45">
                  <c:v>0.13556499999685911</c:v>
                </c:pt>
                <c:pt idx="46">
                  <c:v>0.14242250000097556</c:v>
                </c:pt>
                <c:pt idx="47">
                  <c:v>0.14175100000284147</c:v>
                </c:pt>
                <c:pt idx="48">
                  <c:v>0.14274999999906868</c:v>
                </c:pt>
                <c:pt idx="49">
                  <c:v>0.14285000000381842</c:v>
                </c:pt>
                <c:pt idx="51">
                  <c:v>0.18228900001849979</c:v>
                </c:pt>
                <c:pt idx="52">
                  <c:v>0.19744900000659982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A9-4D78-B9D0-8775105157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A9-4D78-B9D0-8775105157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A9-4D78-B9D0-8775105157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A9-4D78-B9D0-8775105157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5">
                  <c:v>9.296391589795272E-2</c:v>
                </c:pt>
                <c:pt idx="36">
                  <c:v>9.4250411816041324E-2</c:v>
                </c:pt>
                <c:pt idx="37">
                  <c:v>0.10024981357267215</c:v>
                </c:pt>
                <c:pt idx="38">
                  <c:v>0.10730643474713819</c:v>
                </c:pt>
                <c:pt idx="39">
                  <c:v>0.12791584460325023</c:v>
                </c:pt>
                <c:pt idx="40">
                  <c:v>0.12795405735329246</c:v>
                </c:pt>
                <c:pt idx="41">
                  <c:v>0.12799227010333469</c:v>
                </c:pt>
                <c:pt idx="42">
                  <c:v>0.12842534793714666</c:v>
                </c:pt>
                <c:pt idx="43">
                  <c:v>0.13450117519386207</c:v>
                </c:pt>
                <c:pt idx="44">
                  <c:v>0.13618253619572041</c:v>
                </c:pt>
                <c:pt idx="45">
                  <c:v>0.13632264961254192</c:v>
                </c:pt>
                <c:pt idx="46">
                  <c:v>0.14288250503645883</c:v>
                </c:pt>
                <c:pt idx="47">
                  <c:v>0.14309904395336492</c:v>
                </c:pt>
                <c:pt idx="48">
                  <c:v>0.14358307212056654</c:v>
                </c:pt>
                <c:pt idx="49">
                  <c:v>0.14358307212056654</c:v>
                </c:pt>
                <c:pt idx="50">
                  <c:v>0.14862715512614155</c:v>
                </c:pt>
                <c:pt idx="51">
                  <c:v>0.17820382365883136</c:v>
                </c:pt>
                <c:pt idx="52">
                  <c:v>0.2001124670163793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A9-4D78-B9D0-8775105157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9">
                  <c:v>-2.3215000001073349E-2</c:v>
                </c:pt>
                <c:pt idx="22">
                  <c:v>-7.1564000005309936E-2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A9-4D78-B9D0-87751051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380856"/>
        <c:axId val="1"/>
      </c:scatterChart>
      <c:valAx>
        <c:axId val="75238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23244462863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80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7035962609936"/>
          <c:y val="0.92073298764483702"/>
          <c:w val="0.843861122622829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V359 Cas - O-C Diagr.</a:t>
            </a:r>
          </a:p>
        </c:rich>
      </c:tx>
      <c:layout>
        <c:manualLayout>
          <c:xMode val="edge"/>
          <c:yMode val="edge"/>
          <c:x val="0.348375451263537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1444043321299"/>
          <c:y val="0.1458966565349544"/>
          <c:w val="0.7978339350180505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C-4B9E-A394-5DD35A9771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-3.0301999999210238E-2</c:v>
                </c:pt>
                <c:pt idx="1">
                  <c:v>-1.6999999999825377E-2</c:v>
                </c:pt>
                <c:pt idx="3">
                  <c:v>2.4783000000752509E-2</c:v>
                </c:pt>
                <c:pt idx="4">
                  <c:v>8.0719000001408858E-2</c:v>
                </c:pt>
                <c:pt idx="5">
                  <c:v>3.2501999998203246E-2</c:v>
                </c:pt>
                <c:pt idx="6">
                  <c:v>6.0518999998748768E-2</c:v>
                </c:pt>
                <c:pt idx="7">
                  <c:v>1.9505000000208383E-2</c:v>
                </c:pt>
                <c:pt idx="8">
                  <c:v>7.5907999998889863E-2</c:v>
                </c:pt>
                <c:pt idx="9">
                  <c:v>4.135399999722722E-2</c:v>
                </c:pt>
                <c:pt idx="10">
                  <c:v>7.4037999998836312E-2</c:v>
                </c:pt>
                <c:pt idx="11">
                  <c:v>7.017700000142213E-2</c:v>
                </c:pt>
                <c:pt idx="12">
                  <c:v>-3.19759999983944E-2</c:v>
                </c:pt>
                <c:pt idx="13">
                  <c:v>4.5900000004621688E-3</c:v>
                </c:pt>
                <c:pt idx="14">
                  <c:v>-5.8871999997791136E-2</c:v>
                </c:pt>
                <c:pt idx="15">
                  <c:v>4.9667999999655876E-2</c:v>
                </c:pt>
                <c:pt idx="16">
                  <c:v>-1.7484999996668193E-2</c:v>
                </c:pt>
                <c:pt idx="17">
                  <c:v>-2.2000999997544568E-2</c:v>
                </c:pt>
                <c:pt idx="27">
                  <c:v>8.4492999994836282E-2</c:v>
                </c:pt>
                <c:pt idx="28">
                  <c:v>0.12299499999789987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C-4B9E-A394-5DD35A9771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0.13774999999441206</c:v>
                </c:pt>
                <c:pt idx="24">
                  <c:v>0.14103900000191061</c:v>
                </c:pt>
                <c:pt idx="25">
                  <c:v>0.1395120000015595</c:v>
                </c:pt>
                <c:pt idx="26">
                  <c:v>0.14258900000277208</c:v>
                </c:pt>
                <c:pt idx="29">
                  <c:v>0.13413950000540353</c:v>
                </c:pt>
                <c:pt idx="30">
                  <c:v>0.13277250000101048</c:v>
                </c:pt>
                <c:pt idx="31">
                  <c:v>0.12991100000363076</c:v>
                </c:pt>
                <c:pt idx="34">
                  <c:v>0.13085700000374345</c:v>
                </c:pt>
                <c:pt idx="36">
                  <c:v>0.12433349999628263</c:v>
                </c:pt>
                <c:pt idx="37">
                  <c:v>0.11942900000576628</c:v>
                </c:pt>
                <c:pt idx="38">
                  <c:v>0.12084599999798229</c:v>
                </c:pt>
                <c:pt idx="43">
                  <c:v>0.13491349999821978</c:v>
                </c:pt>
                <c:pt idx="44">
                  <c:v>0.13659950000146637</c:v>
                </c:pt>
                <c:pt idx="50">
                  <c:v>0.15050800000608433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C-4B9E-A394-5DD35A9771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9.6970999999030028E-2</c:v>
                </c:pt>
                <c:pt idx="20">
                  <c:v>0.13553700000193203</c:v>
                </c:pt>
                <c:pt idx="21">
                  <c:v>0.16486450000229524</c:v>
                </c:pt>
                <c:pt idx="32">
                  <c:v>0.13001100000110455</c:v>
                </c:pt>
                <c:pt idx="33">
                  <c:v>0.13174099999741884</c:v>
                </c:pt>
                <c:pt idx="35">
                  <c:v>0.12172299999656389</c:v>
                </c:pt>
                <c:pt idx="39">
                  <c:v>0.12733500000467757</c:v>
                </c:pt>
                <c:pt idx="40">
                  <c:v>0.12431649999780348</c:v>
                </c:pt>
                <c:pt idx="41">
                  <c:v>0.12769799999659881</c:v>
                </c:pt>
                <c:pt idx="42">
                  <c:v>0.12915500000235625</c:v>
                </c:pt>
                <c:pt idx="45">
                  <c:v>0.13556499999685911</c:v>
                </c:pt>
                <c:pt idx="46">
                  <c:v>0.14242250000097556</c:v>
                </c:pt>
                <c:pt idx="47">
                  <c:v>0.14175100000284147</c:v>
                </c:pt>
                <c:pt idx="48">
                  <c:v>0.14274999999906868</c:v>
                </c:pt>
                <c:pt idx="49">
                  <c:v>0.14285000000381842</c:v>
                </c:pt>
                <c:pt idx="51">
                  <c:v>0.18228900001849979</c:v>
                </c:pt>
                <c:pt idx="52">
                  <c:v>0.19744900000659982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C-4B9E-A394-5DD35A9771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EC-4B9E-A394-5DD35A9771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EC-4B9E-A394-5DD35A9771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1.1999999999999999E-3</c:v>
                  </c:pt>
                  <c:pt idx="30">
                    <c:v>1.6999999999999999E-3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1.2999999999999999E-3</c:v>
                  </c:pt>
                  <c:pt idx="34">
                    <c:v>1.2999999999999999E-3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1.1000000000000001E-3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2.9999999999999997E-4</c:v>
                  </c:pt>
                  <c:pt idx="5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EC-4B9E-A394-5DD35A9771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-862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39</c:v>
                </c:pt>
                <c:pt idx="5">
                  <c:v>62</c:v>
                </c:pt>
                <c:pt idx="6">
                  <c:v>839</c:v>
                </c:pt>
                <c:pt idx="7">
                  <c:v>905</c:v>
                </c:pt>
                <c:pt idx="8">
                  <c:v>1148</c:v>
                </c:pt>
                <c:pt idx="9">
                  <c:v>1474</c:v>
                </c:pt>
                <c:pt idx="10">
                  <c:v>1678</c:v>
                </c:pt>
                <c:pt idx="11">
                  <c:v>1737</c:v>
                </c:pt>
                <c:pt idx="12">
                  <c:v>1744</c:v>
                </c:pt>
                <c:pt idx="13">
                  <c:v>1790</c:v>
                </c:pt>
                <c:pt idx="14">
                  <c:v>1968</c:v>
                </c:pt>
                <c:pt idx="15">
                  <c:v>3708</c:v>
                </c:pt>
                <c:pt idx="16">
                  <c:v>3715</c:v>
                </c:pt>
                <c:pt idx="17">
                  <c:v>3719</c:v>
                </c:pt>
                <c:pt idx="18">
                  <c:v>13851</c:v>
                </c:pt>
                <c:pt idx="19">
                  <c:v>14585</c:v>
                </c:pt>
                <c:pt idx="20">
                  <c:v>14897</c:v>
                </c:pt>
                <c:pt idx="21">
                  <c:v>14924.5</c:v>
                </c:pt>
                <c:pt idx="22">
                  <c:v>15516</c:v>
                </c:pt>
                <c:pt idx="23">
                  <c:v>15750</c:v>
                </c:pt>
                <c:pt idx="24">
                  <c:v>15759</c:v>
                </c:pt>
                <c:pt idx="25">
                  <c:v>15772</c:v>
                </c:pt>
                <c:pt idx="26">
                  <c:v>16309</c:v>
                </c:pt>
                <c:pt idx="27">
                  <c:v>16533</c:v>
                </c:pt>
                <c:pt idx="28">
                  <c:v>16595</c:v>
                </c:pt>
                <c:pt idx="29">
                  <c:v>17399.5</c:v>
                </c:pt>
                <c:pt idx="30">
                  <c:v>17672.5</c:v>
                </c:pt>
                <c:pt idx="31">
                  <c:v>17691</c:v>
                </c:pt>
                <c:pt idx="32">
                  <c:v>17691</c:v>
                </c:pt>
                <c:pt idx="33">
                  <c:v>17691</c:v>
                </c:pt>
                <c:pt idx="34">
                  <c:v>17717</c:v>
                </c:pt>
                <c:pt idx="35">
                  <c:v>18563</c:v>
                </c:pt>
                <c:pt idx="36">
                  <c:v>18613.5</c:v>
                </c:pt>
                <c:pt idx="37">
                  <c:v>18849</c:v>
                </c:pt>
                <c:pt idx="38">
                  <c:v>19126</c:v>
                </c:pt>
                <c:pt idx="39">
                  <c:v>19935</c:v>
                </c:pt>
                <c:pt idx="40">
                  <c:v>19936.5</c:v>
                </c:pt>
                <c:pt idx="41">
                  <c:v>19938</c:v>
                </c:pt>
                <c:pt idx="42">
                  <c:v>19955</c:v>
                </c:pt>
                <c:pt idx="43">
                  <c:v>20193.5</c:v>
                </c:pt>
                <c:pt idx="44">
                  <c:v>20259.5</c:v>
                </c:pt>
                <c:pt idx="45">
                  <c:v>20265</c:v>
                </c:pt>
                <c:pt idx="46">
                  <c:v>20522.5</c:v>
                </c:pt>
                <c:pt idx="47">
                  <c:v>20531</c:v>
                </c:pt>
                <c:pt idx="48">
                  <c:v>20550</c:v>
                </c:pt>
                <c:pt idx="49">
                  <c:v>20550</c:v>
                </c:pt>
                <c:pt idx="50">
                  <c:v>20748</c:v>
                </c:pt>
                <c:pt idx="51">
                  <c:v>21909</c:v>
                </c:pt>
                <c:pt idx="52">
                  <c:v>22769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5">
                  <c:v>9.296391589795272E-2</c:v>
                </c:pt>
                <c:pt idx="36">
                  <c:v>9.4250411816041324E-2</c:v>
                </c:pt>
                <c:pt idx="37">
                  <c:v>0.10024981357267215</c:v>
                </c:pt>
                <c:pt idx="38">
                  <c:v>0.10730643474713819</c:v>
                </c:pt>
                <c:pt idx="39">
                  <c:v>0.12791584460325023</c:v>
                </c:pt>
                <c:pt idx="40">
                  <c:v>0.12795405735329246</c:v>
                </c:pt>
                <c:pt idx="41">
                  <c:v>0.12799227010333469</c:v>
                </c:pt>
                <c:pt idx="42">
                  <c:v>0.12842534793714666</c:v>
                </c:pt>
                <c:pt idx="43">
                  <c:v>0.13450117519386207</c:v>
                </c:pt>
                <c:pt idx="44">
                  <c:v>0.13618253619572041</c:v>
                </c:pt>
                <c:pt idx="45">
                  <c:v>0.13632264961254192</c:v>
                </c:pt>
                <c:pt idx="46">
                  <c:v>0.14288250503645883</c:v>
                </c:pt>
                <c:pt idx="47">
                  <c:v>0.14309904395336492</c:v>
                </c:pt>
                <c:pt idx="48">
                  <c:v>0.14358307212056654</c:v>
                </c:pt>
                <c:pt idx="49">
                  <c:v>0.14358307212056654</c:v>
                </c:pt>
                <c:pt idx="50">
                  <c:v>0.14862715512614155</c:v>
                </c:pt>
                <c:pt idx="51">
                  <c:v>0.17820382365883136</c:v>
                </c:pt>
                <c:pt idx="52">
                  <c:v>0.2001124670163793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EC-4B9E-A394-5DD35A977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12424"/>
        <c:axId val="1"/>
      </c:scatterChart>
      <c:valAx>
        <c:axId val="51571242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606498194945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71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48014440433212"/>
          <c:y val="0.92097264437689974"/>
          <c:w val="0.7545126353790613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295275</xdr:colOff>
      <xdr:row>17</xdr:row>
      <xdr:rowOff>152400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736C1149-2176-6C4A-B903-5C09F9BC1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76200</xdr:rowOff>
    </xdr:from>
    <xdr:to>
      <xdr:col>27</xdr:col>
      <xdr:colOff>219075</xdr:colOff>
      <xdr:row>17</xdr:row>
      <xdr:rowOff>133350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EC197109-3494-B154-E20D-D2660A95F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79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99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12" TargetMode="External"/><Relationship Id="rId25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79" TargetMode="External"/><Relationship Id="rId16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79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960" TargetMode="External"/><Relationship Id="rId28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68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8" ht="20.25" x14ac:dyDescent="0.3">
      <c r="A1" s="1" t="s">
        <v>60</v>
      </c>
      <c r="C1" s="11"/>
      <c r="U1" t="s">
        <v>40</v>
      </c>
    </row>
    <row r="2" spans="1:28" x14ac:dyDescent="0.2">
      <c r="A2" t="s">
        <v>25</v>
      </c>
      <c r="B2" t="s">
        <v>39</v>
      </c>
      <c r="C2" s="11"/>
    </row>
    <row r="3" spans="1:28" ht="13.5" thickBot="1" x14ac:dyDescent="0.25">
      <c r="U3" s="68"/>
      <c r="V3" s="68"/>
      <c r="W3" s="68"/>
      <c r="X3" s="68"/>
      <c r="Y3" s="68"/>
      <c r="Z3" s="68"/>
      <c r="AA3" s="68"/>
      <c r="AB3" s="68"/>
    </row>
    <row r="4" spans="1:28" ht="14.25" thickTop="1" thickBot="1" x14ac:dyDescent="0.25">
      <c r="A4" s="8" t="s">
        <v>0</v>
      </c>
      <c r="C4" s="3">
        <v>29079.48</v>
      </c>
      <c r="D4" s="4">
        <v>1.303879</v>
      </c>
      <c r="U4" s="68"/>
      <c r="V4" s="68"/>
      <c r="W4" s="68"/>
      <c r="X4" s="68"/>
      <c r="Y4" s="68"/>
      <c r="Z4" s="68"/>
      <c r="AA4" s="68"/>
      <c r="AB4" s="68"/>
    </row>
    <row r="5" spans="1:28" ht="13.5" thickTop="1" x14ac:dyDescent="0.2">
      <c r="A5" s="15" t="s">
        <v>46</v>
      </c>
      <c r="B5" s="14"/>
      <c r="C5" s="16">
        <v>-9.5</v>
      </c>
      <c r="D5" s="14" t="s">
        <v>47</v>
      </c>
      <c r="U5" s="68"/>
      <c r="V5" s="68"/>
      <c r="W5" s="68"/>
      <c r="X5" s="68"/>
      <c r="Y5" s="68"/>
      <c r="Z5" s="68"/>
      <c r="AA5" s="68"/>
      <c r="AB5" s="68"/>
    </row>
    <row r="6" spans="1:28" x14ac:dyDescent="0.2">
      <c r="A6" s="8" t="s">
        <v>1</v>
      </c>
      <c r="U6" s="68"/>
      <c r="V6" s="68"/>
      <c r="W6" s="68"/>
      <c r="X6" s="68"/>
      <c r="Y6" s="68"/>
      <c r="Z6" s="68"/>
      <c r="AA6" s="68"/>
      <c r="AB6" s="68"/>
    </row>
    <row r="7" spans="1:28" x14ac:dyDescent="0.2">
      <c r="A7" t="s">
        <v>2</v>
      </c>
      <c r="C7">
        <f>+C4</f>
        <v>29079.48</v>
      </c>
      <c r="U7" s="68"/>
      <c r="V7" s="68"/>
      <c r="W7" s="68"/>
      <c r="X7" s="68"/>
      <c r="Y7" s="68"/>
      <c r="Z7" s="68"/>
      <c r="AA7" s="68"/>
      <c r="AB7" s="68"/>
    </row>
    <row r="8" spans="1:28" x14ac:dyDescent="0.2">
      <c r="A8" t="s">
        <v>3</v>
      </c>
      <c r="C8">
        <f>+D4</f>
        <v>1.303879</v>
      </c>
      <c r="U8" s="68"/>
      <c r="V8" s="68"/>
      <c r="W8" s="68"/>
      <c r="X8" s="68"/>
      <c r="Y8" s="68"/>
      <c r="Z8" s="68"/>
      <c r="AA8" s="68"/>
      <c r="AB8" s="68"/>
    </row>
    <row r="9" spans="1:28" x14ac:dyDescent="0.2">
      <c r="A9" s="25" t="s">
        <v>53</v>
      </c>
      <c r="B9" s="26">
        <v>64</v>
      </c>
      <c r="C9" s="18" t="str">
        <f>"F"&amp;B9</f>
        <v>F64</v>
      </c>
      <c r="D9" s="19" t="str">
        <f>"G"&amp;B9</f>
        <v>G64</v>
      </c>
      <c r="U9" s="68"/>
      <c r="V9" s="68"/>
      <c r="W9" s="68"/>
      <c r="X9" s="68"/>
      <c r="Y9" s="68"/>
      <c r="Z9" s="68"/>
      <c r="AA9" s="68"/>
      <c r="AB9" s="68"/>
    </row>
    <row r="10" spans="1:28" ht="13.5" thickBot="1" x14ac:dyDescent="0.25">
      <c r="C10" s="7" t="s">
        <v>20</v>
      </c>
      <c r="D10" s="7" t="s">
        <v>21</v>
      </c>
      <c r="U10" s="68"/>
      <c r="V10" s="68"/>
      <c r="W10" s="68"/>
      <c r="X10" s="68"/>
      <c r="Y10" s="68"/>
      <c r="Z10" s="68"/>
      <c r="AA10" s="68"/>
      <c r="AB10" s="68"/>
    </row>
    <row r="11" spans="1:28" x14ac:dyDescent="0.2">
      <c r="A11" t="s">
        <v>16</v>
      </c>
      <c r="C11" s="17">
        <f ca="1">INTERCEPT(INDIRECT($D$9):G992,INDIRECT($C$9):F992)</f>
        <v>-0.37993160345805121</v>
      </c>
      <c r="D11" s="6"/>
      <c r="U11" s="68"/>
      <c r="V11" s="68"/>
      <c r="W11" s="68"/>
      <c r="X11" s="68"/>
      <c r="Y11" s="68"/>
      <c r="Z11" s="68"/>
      <c r="AA11" s="68"/>
      <c r="AB11" s="68"/>
    </row>
    <row r="12" spans="1:28" x14ac:dyDescent="0.2">
      <c r="A12" t="s">
        <v>17</v>
      </c>
      <c r="C12" s="17">
        <f ca="1">SLOPE(INDIRECT($D$9):G992,INDIRECT($C$9):F992)</f>
        <v>2.5475166694823248E-5</v>
      </c>
      <c r="D12" s="6"/>
      <c r="U12" s="68"/>
      <c r="V12" s="68"/>
      <c r="W12" s="68"/>
      <c r="X12" s="68"/>
      <c r="Y12" s="68"/>
      <c r="Z12" s="68"/>
      <c r="AA12" s="68"/>
      <c r="AB12" s="68"/>
    </row>
    <row r="13" spans="1:28" x14ac:dyDescent="0.2">
      <c r="A13" t="s">
        <v>19</v>
      </c>
      <c r="C13" s="6" t="s">
        <v>14</v>
      </c>
      <c r="U13" s="68"/>
      <c r="V13" s="68"/>
      <c r="W13" s="68"/>
      <c r="X13" s="68"/>
      <c r="Y13" s="68"/>
      <c r="Z13" s="68"/>
      <c r="AA13" s="68"/>
      <c r="AB13" s="68"/>
    </row>
    <row r="14" spans="1:28" x14ac:dyDescent="0.2">
      <c r="A14" t="s">
        <v>24</v>
      </c>
      <c r="U14" s="68"/>
      <c r="V14" s="68"/>
      <c r="W14" s="68"/>
      <c r="X14" s="68"/>
      <c r="Y14" s="68"/>
      <c r="Z14" s="68"/>
      <c r="AA14" s="68"/>
      <c r="AB14" s="68"/>
    </row>
    <row r="15" spans="1:28" ht="14.25" x14ac:dyDescent="0.2">
      <c r="A15" s="5" t="s">
        <v>18</v>
      </c>
      <c r="C15" s="20">
        <f ca="1">(C7+C11)+(C8+C12)*INT(MAX(F21:F3533))</f>
        <v>58767.701063467015</v>
      </c>
      <c r="E15" s="21" t="s">
        <v>55</v>
      </c>
      <c r="F15" s="16">
        <v>1</v>
      </c>
      <c r="Q15" t="s">
        <v>37</v>
      </c>
      <c r="S15">
        <f>SUM(S22:S32)</f>
        <v>3.0396742992628116E-2</v>
      </c>
      <c r="U15" s="68"/>
      <c r="V15" s="68"/>
      <c r="W15" s="68"/>
      <c r="X15" s="68"/>
      <c r="Y15" s="68"/>
      <c r="Z15" s="68"/>
      <c r="AA15" s="68"/>
      <c r="AB15" s="68"/>
    </row>
    <row r="16" spans="1:28" x14ac:dyDescent="0.2">
      <c r="A16" s="8" t="s">
        <v>4</v>
      </c>
      <c r="C16" s="23">
        <f ca="1">+C8+C12</f>
        <v>1.3039044751666948</v>
      </c>
      <c r="E16" s="21" t="s">
        <v>48</v>
      </c>
      <c r="F16" s="22">
        <f ca="1">NOW()+15018.5+$C$5/24</f>
        <v>60328.789574652772</v>
      </c>
      <c r="Q16" t="s">
        <v>38</v>
      </c>
      <c r="S16">
        <f ca="1">SQRT(S15/(COUNT(S22:S56)-1))</f>
        <v>3.0349850477704728E-2</v>
      </c>
      <c r="U16" s="68"/>
      <c r="V16" s="68"/>
      <c r="W16" s="68"/>
      <c r="X16" s="68"/>
      <c r="Y16" s="68"/>
      <c r="Z16" s="68"/>
      <c r="AA16" s="68"/>
      <c r="AB16" s="68"/>
    </row>
    <row r="17" spans="1:28" ht="13.5" thickBot="1" x14ac:dyDescent="0.25">
      <c r="A17" s="21" t="s">
        <v>42</v>
      </c>
      <c r="B17" s="14"/>
      <c r="C17" s="48">
        <f>COUNT(C21:C2191)</f>
        <v>53</v>
      </c>
      <c r="E17" s="21" t="s">
        <v>56</v>
      </c>
      <c r="F17" s="22">
        <f ca="1">ROUND(2*(F16-$C$7)/$C$8,0)/2+F15</f>
        <v>23967.5</v>
      </c>
      <c r="U17" s="68"/>
      <c r="V17" s="68"/>
      <c r="W17" s="68"/>
      <c r="X17" s="68"/>
      <c r="Y17" s="68"/>
      <c r="Z17" s="68"/>
      <c r="AA17" s="68"/>
      <c r="AB17" s="68"/>
    </row>
    <row r="18" spans="1:28" ht="14.25" thickTop="1" thickBot="1" x14ac:dyDescent="0.25">
      <c r="A18" s="8" t="s">
        <v>5</v>
      </c>
      <c r="C18" s="3">
        <f ca="1">+C15</f>
        <v>58767.701063467015</v>
      </c>
      <c r="D18" s="4">
        <f ca="1">+C16</f>
        <v>1.3039044751666948</v>
      </c>
      <c r="E18" s="21" t="s">
        <v>49</v>
      </c>
      <c r="F18" s="19">
        <f ca="1">ROUND(2*(F16-$C$15)/$C$16,0)/2+F15</f>
        <v>1198</v>
      </c>
      <c r="U18" s="68"/>
      <c r="V18" s="68"/>
      <c r="W18" s="68"/>
      <c r="X18" s="68"/>
      <c r="Y18" s="68"/>
      <c r="Z18" s="68"/>
      <c r="AA18" s="68"/>
      <c r="AB18" s="68"/>
    </row>
    <row r="19" spans="1:28" ht="13.5" thickTop="1" x14ac:dyDescent="0.2">
      <c r="E19" s="21" t="s">
        <v>50</v>
      </c>
      <c r="F19" s="24">
        <f ca="1">+$C$15+$C$16*F18-15018.5-$C$5/24</f>
        <v>45311.674458050053</v>
      </c>
      <c r="U19" s="68"/>
      <c r="V19" s="68"/>
      <c r="W19" s="68"/>
      <c r="X19" s="68"/>
      <c r="Y19" s="68"/>
      <c r="Z19" s="68"/>
      <c r="AA19" s="68"/>
      <c r="AB19" s="68"/>
    </row>
    <row r="20" spans="1:2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68</v>
      </c>
      <c r="I20" s="10" t="s">
        <v>71</v>
      </c>
      <c r="J20" s="10" t="s">
        <v>66</v>
      </c>
      <c r="K20" s="10" t="s">
        <v>64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70"/>
      <c r="U20" s="71" t="s">
        <v>269</v>
      </c>
      <c r="V20" s="68"/>
      <c r="W20" s="68"/>
      <c r="X20" s="68"/>
      <c r="Y20" s="68"/>
      <c r="Z20" s="68"/>
      <c r="AA20" s="68"/>
      <c r="AB20" s="68"/>
    </row>
    <row r="21" spans="1:28" x14ac:dyDescent="0.2">
      <c r="A21" s="66" t="s">
        <v>78</v>
      </c>
      <c r="B21" s="67" t="s">
        <v>52</v>
      </c>
      <c r="C21" s="66">
        <v>27955.506000000001</v>
      </c>
      <c r="D21" s="66" t="s">
        <v>71</v>
      </c>
      <c r="E21">
        <f t="shared" ref="E21:E52" si="0">+(C21-C$7)/C$8</f>
        <v>-862.02323988652188</v>
      </c>
      <c r="F21">
        <f t="shared" ref="F21:F52" si="1">ROUND(2*E21,0)/2</f>
        <v>-862</v>
      </c>
      <c r="G21">
        <f t="shared" ref="G21:G39" si="2">+C21-(C$7+F21*C$8)</f>
        <v>-3.0301999999210238E-2</v>
      </c>
      <c r="I21">
        <f>+G21</f>
        <v>-3.0301999999210238E-2</v>
      </c>
      <c r="Q21" s="2">
        <f t="shared" ref="Q21:Q52" si="3">+C21-15018.5</f>
        <v>12937.006000000001</v>
      </c>
      <c r="R21" s="2"/>
      <c r="S21">
        <f>+(O21-G21)^2</f>
        <v>9.1821120395213724E-4</v>
      </c>
      <c r="U21" s="68"/>
      <c r="V21" s="68"/>
      <c r="W21" s="68"/>
      <c r="X21" s="68"/>
      <c r="Y21" s="68"/>
      <c r="Z21" s="68"/>
      <c r="AA21" s="68"/>
      <c r="AB21" s="68"/>
    </row>
    <row r="22" spans="1:28" x14ac:dyDescent="0.2">
      <c r="A22" s="66" t="s">
        <v>78</v>
      </c>
      <c r="B22" s="67" t="s">
        <v>52</v>
      </c>
      <c r="C22" s="66">
        <v>29079.463</v>
      </c>
      <c r="D22" s="66" t="s">
        <v>71</v>
      </c>
      <c r="E22">
        <f t="shared" si="0"/>
        <v>-1.3038019632055871E-2</v>
      </c>
      <c r="F22">
        <f t="shared" si="1"/>
        <v>0</v>
      </c>
      <c r="G22">
        <f t="shared" si="2"/>
        <v>-1.6999999999825377E-2</v>
      </c>
      <c r="I22">
        <f>+G22</f>
        <v>-1.6999999999825377E-2</v>
      </c>
      <c r="Q22" s="2">
        <f t="shared" si="3"/>
        <v>14060.963</v>
      </c>
      <c r="R22" s="2"/>
      <c r="S22">
        <f>+(O22-G22)^2</f>
        <v>2.8899999999406283E-4</v>
      </c>
      <c r="U22" s="68"/>
      <c r="V22" s="68"/>
      <c r="W22" s="68"/>
      <c r="X22" s="68"/>
      <c r="Y22" s="68"/>
      <c r="Z22" s="68"/>
      <c r="AA22" s="68"/>
      <c r="AB22" s="68"/>
    </row>
    <row r="23" spans="1:28" x14ac:dyDescent="0.2">
      <c r="A23" s="27" t="s">
        <v>12</v>
      </c>
      <c r="B23" s="27"/>
      <c r="C23" s="28">
        <v>29079.48</v>
      </c>
      <c r="D23" s="28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Q23" s="2">
        <f t="shared" si="3"/>
        <v>14060.98</v>
      </c>
      <c r="R23" s="2"/>
    </row>
    <row r="24" spans="1:28" x14ac:dyDescent="0.2">
      <c r="A24" s="66" t="s">
        <v>78</v>
      </c>
      <c r="B24" s="67" t="s">
        <v>52</v>
      </c>
      <c r="C24" s="66">
        <v>29109.493999999999</v>
      </c>
      <c r="D24" s="66" t="s">
        <v>71</v>
      </c>
      <c r="E24">
        <f t="shared" si="0"/>
        <v>23.019007131796137</v>
      </c>
      <c r="F24">
        <f t="shared" si="1"/>
        <v>23</v>
      </c>
      <c r="G24">
        <f t="shared" si="2"/>
        <v>2.4783000000752509E-2</v>
      </c>
      <c r="I24">
        <f t="shared" ref="I24:I38" si="4">+G24</f>
        <v>2.4783000000752509E-2</v>
      </c>
      <c r="Q24" s="2">
        <f t="shared" si="3"/>
        <v>14090.993999999999</v>
      </c>
      <c r="R24" s="2"/>
      <c r="S24">
        <f t="shared" ref="S24:S39" si="5">+(O24-G24)^2</f>
        <v>6.1419708903729883E-4</v>
      </c>
      <c r="U24" s="68"/>
      <c r="V24" s="68"/>
      <c r="W24" s="68"/>
      <c r="X24" s="68"/>
      <c r="Y24" s="68"/>
      <c r="Z24" s="68"/>
      <c r="AA24" s="68"/>
      <c r="AB24" s="68"/>
    </row>
    <row r="25" spans="1:28" x14ac:dyDescent="0.2">
      <c r="A25" s="66" t="s">
        <v>78</v>
      </c>
      <c r="B25" s="67" t="s">
        <v>52</v>
      </c>
      <c r="C25" s="66">
        <v>29130.412</v>
      </c>
      <c r="D25" s="66" t="s">
        <v>71</v>
      </c>
      <c r="E25">
        <f t="shared" si="0"/>
        <v>39.061906818041166</v>
      </c>
      <c r="F25">
        <f t="shared" si="1"/>
        <v>39</v>
      </c>
      <c r="G25">
        <f t="shared" si="2"/>
        <v>8.0719000001408858E-2</v>
      </c>
      <c r="I25">
        <f t="shared" si="4"/>
        <v>8.0719000001408858E-2</v>
      </c>
      <c r="Q25" s="2">
        <f t="shared" si="3"/>
        <v>14111.912</v>
      </c>
      <c r="R25" s="2"/>
      <c r="S25">
        <f t="shared" si="5"/>
        <v>6.5155569612274436E-3</v>
      </c>
      <c r="U25" s="69"/>
      <c r="V25" s="69"/>
      <c r="W25" s="69"/>
      <c r="X25" s="69"/>
      <c r="Y25" s="68"/>
      <c r="Z25" s="69"/>
      <c r="AA25" s="69"/>
      <c r="AB25" s="68"/>
    </row>
    <row r="26" spans="1:28" x14ac:dyDescent="0.2">
      <c r="A26" s="66" t="s">
        <v>78</v>
      </c>
      <c r="B26" s="67" t="s">
        <v>52</v>
      </c>
      <c r="C26" s="66">
        <v>29160.352999999999</v>
      </c>
      <c r="D26" s="66" t="s">
        <v>71</v>
      </c>
      <c r="E26">
        <f t="shared" si="0"/>
        <v>62.024927159651774</v>
      </c>
      <c r="F26">
        <f t="shared" si="1"/>
        <v>62</v>
      </c>
      <c r="G26">
        <f t="shared" si="2"/>
        <v>3.2501999998203246E-2</v>
      </c>
      <c r="I26">
        <f t="shared" si="4"/>
        <v>3.2501999998203246E-2</v>
      </c>
      <c r="Q26" s="2">
        <f t="shared" si="3"/>
        <v>14141.852999999999</v>
      </c>
      <c r="R26" s="2"/>
      <c r="S26">
        <f t="shared" si="5"/>
        <v>1.0563800038832039E-3</v>
      </c>
      <c r="U26" s="13"/>
      <c r="V26" s="13"/>
      <c r="W26" s="13"/>
      <c r="X26" s="13"/>
      <c r="Y26" s="68"/>
      <c r="Z26" s="13"/>
      <c r="AA26" s="13"/>
      <c r="AB26" s="68"/>
    </row>
    <row r="27" spans="1:28" x14ac:dyDescent="0.2">
      <c r="A27" s="66" t="s">
        <v>78</v>
      </c>
      <c r="B27" s="67" t="s">
        <v>52</v>
      </c>
      <c r="C27" s="66">
        <v>30173.494999999999</v>
      </c>
      <c r="D27" s="66" t="s">
        <v>71</v>
      </c>
      <c r="E27">
        <f t="shared" si="0"/>
        <v>839.04641458294782</v>
      </c>
      <c r="F27">
        <f t="shared" si="1"/>
        <v>839</v>
      </c>
      <c r="G27">
        <f t="shared" si="2"/>
        <v>6.0518999998748768E-2</v>
      </c>
      <c r="I27">
        <f t="shared" si="4"/>
        <v>6.0518999998748768E-2</v>
      </c>
      <c r="Q27" s="2">
        <f t="shared" si="3"/>
        <v>15154.994999999999</v>
      </c>
      <c r="R27" s="2"/>
      <c r="S27">
        <f t="shared" si="5"/>
        <v>3.6625493608485535E-3</v>
      </c>
      <c r="U27" s="13"/>
      <c r="V27" s="13"/>
      <c r="W27" s="13"/>
      <c r="X27" s="13"/>
      <c r="Y27" s="68"/>
      <c r="Z27" s="13"/>
      <c r="AA27" s="13"/>
      <c r="AB27" s="68"/>
    </row>
    <row r="28" spans="1:28" x14ac:dyDescent="0.2">
      <c r="A28" s="66" t="s">
        <v>78</v>
      </c>
      <c r="B28" s="67" t="s">
        <v>52</v>
      </c>
      <c r="C28" s="66">
        <v>30259.51</v>
      </c>
      <c r="D28" s="66" t="s">
        <v>71</v>
      </c>
      <c r="E28">
        <f t="shared" si="0"/>
        <v>905.01495921017124</v>
      </c>
      <c r="F28">
        <f t="shared" si="1"/>
        <v>905</v>
      </c>
      <c r="G28">
        <f t="shared" si="2"/>
        <v>1.9505000000208383E-2</v>
      </c>
      <c r="I28">
        <f t="shared" si="4"/>
        <v>1.9505000000208383E-2</v>
      </c>
      <c r="Q28" s="2">
        <f t="shared" si="3"/>
        <v>15241.009999999998</v>
      </c>
      <c r="R28" s="2"/>
      <c r="S28">
        <f t="shared" si="5"/>
        <v>3.8044502500812901E-4</v>
      </c>
      <c r="U28" s="13"/>
      <c r="V28" s="13"/>
      <c r="W28" s="13"/>
      <c r="X28" s="13"/>
      <c r="Y28" s="68"/>
      <c r="Z28" s="13"/>
      <c r="AA28" s="13"/>
      <c r="AB28" s="68"/>
    </row>
    <row r="29" spans="1:28" x14ac:dyDescent="0.2">
      <c r="A29" s="66" t="s">
        <v>78</v>
      </c>
      <c r="B29" s="67" t="s">
        <v>52</v>
      </c>
      <c r="C29" s="66">
        <v>30576.409</v>
      </c>
      <c r="D29" s="66" t="s">
        <v>71</v>
      </c>
      <c r="E29">
        <f t="shared" si="0"/>
        <v>1148.0582170584848</v>
      </c>
      <c r="F29">
        <f t="shared" si="1"/>
        <v>1148</v>
      </c>
      <c r="G29">
        <f t="shared" si="2"/>
        <v>7.5907999998889863E-2</v>
      </c>
      <c r="I29">
        <f t="shared" si="4"/>
        <v>7.5907999998889863E-2</v>
      </c>
      <c r="Q29" s="2">
        <f t="shared" si="3"/>
        <v>15557.909</v>
      </c>
      <c r="R29" s="2"/>
      <c r="S29">
        <f t="shared" si="5"/>
        <v>5.7620244638314638E-3</v>
      </c>
      <c r="U29" s="13"/>
      <c r="V29" s="13"/>
      <c r="W29" s="13"/>
      <c r="X29" s="13"/>
      <c r="Y29" s="68"/>
      <c r="Z29" s="13"/>
      <c r="AA29" s="13"/>
      <c r="AB29" s="68"/>
    </row>
    <row r="30" spans="1:28" x14ac:dyDescent="0.2">
      <c r="A30" s="66" t="s">
        <v>78</v>
      </c>
      <c r="B30" s="67" t="s">
        <v>52</v>
      </c>
      <c r="C30" s="66">
        <v>31001.438999999998</v>
      </c>
      <c r="D30" s="66" t="s">
        <v>71</v>
      </c>
      <c r="E30">
        <f t="shared" si="0"/>
        <v>1474.0317161331679</v>
      </c>
      <c r="F30">
        <f t="shared" si="1"/>
        <v>1474</v>
      </c>
      <c r="G30">
        <f t="shared" si="2"/>
        <v>4.135399999722722E-2</v>
      </c>
      <c r="I30">
        <f t="shared" si="4"/>
        <v>4.135399999722722E-2</v>
      </c>
      <c r="Q30" s="2">
        <f t="shared" si="3"/>
        <v>15982.938999999998</v>
      </c>
      <c r="R30" s="2"/>
      <c r="S30">
        <f t="shared" si="5"/>
        <v>1.710153315770669E-3</v>
      </c>
      <c r="U30" s="13"/>
      <c r="V30" s="13"/>
      <c r="W30" s="13"/>
      <c r="X30" s="13"/>
      <c r="Y30" s="68"/>
      <c r="Z30" s="13"/>
      <c r="AA30" s="13"/>
      <c r="AB30" s="68"/>
    </row>
    <row r="31" spans="1:28" x14ac:dyDescent="0.2">
      <c r="A31" s="66" t="s">
        <v>78</v>
      </c>
      <c r="B31" s="67" t="s">
        <v>52</v>
      </c>
      <c r="C31" s="66">
        <v>31267.463</v>
      </c>
      <c r="D31" s="66" t="s">
        <v>71</v>
      </c>
      <c r="E31">
        <f t="shared" si="0"/>
        <v>1678.0567828763253</v>
      </c>
      <c r="F31">
        <f t="shared" si="1"/>
        <v>1678</v>
      </c>
      <c r="G31">
        <f t="shared" si="2"/>
        <v>7.4037999998836312E-2</v>
      </c>
      <c r="I31">
        <f t="shared" si="4"/>
        <v>7.4037999998836312E-2</v>
      </c>
      <c r="Q31" s="2">
        <f t="shared" si="3"/>
        <v>16248.963</v>
      </c>
      <c r="R31" s="2"/>
      <c r="S31">
        <f t="shared" si="5"/>
        <v>5.4816254438276859E-3</v>
      </c>
      <c r="U31" s="13"/>
      <c r="V31" s="13"/>
      <c r="W31" s="13"/>
      <c r="X31" s="13"/>
      <c r="Y31" s="68"/>
      <c r="Z31" s="13"/>
      <c r="AA31" s="13"/>
      <c r="AB31" s="68"/>
    </row>
    <row r="32" spans="1:28" x14ac:dyDescent="0.2">
      <c r="A32" s="66" t="s">
        <v>78</v>
      </c>
      <c r="B32" s="67" t="s">
        <v>52</v>
      </c>
      <c r="C32" s="66">
        <v>31344.387999999999</v>
      </c>
      <c r="D32" s="66" t="s">
        <v>71</v>
      </c>
      <c r="E32">
        <f t="shared" si="0"/>
        <v>1737.0538217119836</v>
      </c>
      <c r="F32">
        <f t="shared" si="1"/>
        <v>1737</v>
      </c>
      <c r="G32">
        <f t="shared" si="2"/>
        <v>7.017700000142213E-2</v>
      </c>
      <c r="I32">
        <f t="shared" si="4"/>
        <v>7.017700000142213E-2</v>
      </c>
      <c r="Q32" s="2">
        <f t="shared" si="3"/>
        <v>16325.887999999999</v>
      </c>
      <c r="R32" s="2"/>
      <c r="S32">
        <f t="shared" si="5"/>
        <v>4.9248113291996019E-3</v>
      </c>
      <c r="U32" s="13"/>
      <c r="V32" s="13"/>
      <c r="W32" s="13"/>
      <c r="X32" s="13"/>
      <c r="Y32" s="68"/>
      <c r="Z32" s="13"/>
      <c r="AA32" s="13"/>
      <c r="AB32" s="68"/>
    </row>
    <row r="33" spans="1:28" x14ac:dyDescent="0.2">
      <c r="A33" s="66" t="s">
        <v>78</v>
      </c>
      <c r="B33" s="67" t="s">
        <v>52</v>
      </c>
      <c r="C33" s="66">
        <v>31353.413</v>
      </c>
      <c r="D33" s="66" t="s">
        <v>71</v>
      </c>
      <c r="E33">
        <f t="shared" si="0"/>
        <v>1743.9754762520149</v>
      </c>
      <c r="F33">
        <f t="shared" si="1"/>
        <v>1744</v>
      </c>
      <c r="G33">
        <f t="shared" si="2"/>
        <v>-3.19759999983944E-2</v>
      </c>
      <c r="I33">
        <f t="shared" si="4"/>
        <v>-3.19759999983944E-2</v>
      </c>
      <c r="Q33" s="2">
        <f t="shared" si="3"/>
        <v>16334.913</v>
      </c>
      <c r="R33" s="2"/>
      <c r="S33">
        <f t="shared" si="5"/>
        <v>1.0224645758973186E-3</v>
      </c>
      <c r="U33" s="13"/>
      <c r="V33" s="13"/>
      <c r="W33" s="13"/>
      <c r="X33" s="13"/>
      <c r="Y33" s="68"/>
      <c r="Z33" s="13"/>
      <c r="AA33" s="13"/>
      <c r="AB33" s="68"/>
    </row>
    <row r="34" spans="1:28" x14ac:dyDescent="0.2">
      <c r="A34" s="66" t="s">
        <v>78</v>
      </c>
      <c r="B34" s="67" t="s">
        <v>52</v>
      </c>
      <c r="C34" s="66">
        <v>31413.428</v>
      </c>
      <c r="D34" s="66" t="s">
        <v>71</v>
      </c>
      <c r="E34">
        <f t="shared" si="0"/>
        <v>1790.0035202653009</v>
      </c>
      <c r="F34">
        <f t="shared" si="1"/>
        <v>1790</v>
      </c>
      <c r="G34">
        <f t="shared" si="2"/>
        <v>4.5900000004621688E-3</v>
      </c>
      <c r="I34">
        <f t="shared" si="4"/>
        <v>4.5900000004621688E-3</v>
      </c>
      <c r="Q34" s="2">
        <f t="shared" si="3"/>
        <v>16394.928</v>
      </c>
      <c r="R34" s="2"/>
      <c r="S34">
        <f t="shared" si="5"/>
        <v>2.1068100004242709E-5</v>
      </c>
      <c r="U34" s="13"/>
      <c r="V34" s="13"/>
      <c r="W34" s="13"/>
      <c r="X34" s="13"/>
      <c r="Y34" s="68"/>
      <c r="Z34" s="13"/>
      <c r="AA34" s="13"/>
      <c r="AB34" s="68"/>
    </row>
    <row r="35" spans="1:28" x14ac:dyDescent="0.2">
      <c r="A35" s="66" t="s">
        <v>78</v>
      </c>
      <c r="B35" s="67" t="s">
        <v>52</v>
      </c>
      <c r="C35" s="66">
        <v>31645.455000000002</v>
      </c>
      <c r="D35" s="66" t="s">
        <v>71</v>
      </c>
      <c r="E35">
        <f t="shared" si="0"/>
        <v>1967.9548485710729</v>
      </c>
      <c r="F35">
        <f t="shared" si="1"/>
        <v>1968</v>
      </c>
      <c r="G35">
        <f t="shared" si="2"/>
        <v>-5.8871999997791136E-2</v>
      </c>
      <c r="I35">
        <f t="shared" si="4"/>
        <v>-5.8871999997791136E-2</v>
      </c>
      <c r="Q35" s="2">
        <f t="shared" si="3"/>
        <v>16626.955000000002</v>
      </c>
      <c r="R35" s="2"/>
      <c r="S35">
        <f t="shared" si="5"/>
        <v>3.4659123837399194E-3</v>
      </c>
      <c r="U35" s="13"/>
      <c r="V35" s="13"/>
      <c r="W35" s="13"/>
      <c r="X35" s="13"/>
      <c r="Y35" s="68"/>
      <c r="Z35" s="13"/>
      <c r="AA35" s="13"/>
      <c r="AB35" s="68"/>
    </row>
    <row r="36" spans="1:28" x14ac:dyDescent="0.2">
      <c r="A36" s="66" t="s">
        <v>78</v>
      </c>
      <c r="B36" s="67" t="s">
        <v>52</v>
      </c>
      <c r="C36" s="66">
        <v>33914.313000000002</v>
      </c>
      <c r="D36" s="66" t="s">
        <v>71</v>
      </c>
      <c r="E36">
        <f t="shared" si="0"/>
        <v>3708.0380924917131</v>
      </c>
      <c r="F36">
        <f t="shared" si="1"/>
        <v>3708</v>
      </c>
      <c r="G36">
        <f t="shared" si="2"/>
        <v>4.9667999999655876E-2</v>
      </c>
      <c r="I36">
        <f t="shared" si="4"/>
        <v>4.9667999999655876E-2</v>
      </c>
      <c r="Q36" s="2">
        <f t="shared" si="3"/>
        <v>18895.813000000002</v>
      </c>
      <c r="R36" s="2"/>
      <c r="S36">
        <f t="shared" si="5"/>
        <v>2.4669102239658161E-3</v>
      </c>
      <c r="U36" s="13"/>
      <c r="V36" s="13"/>
      <c r="W36" s="13"/>
      <c r="X36" s="13"/>
      <c r="Y36" s="68"/>
      <c r="Z36" s="13"/>
      <c r="AA36" s="13"/>
      <c r="AB36" s="68"/>
    </row>
    <row r="37" spans="1:28" x14ac:dyDescent="0.2">
      <c r="A37" s="66" t="s">
        <v>78</v>
      </c>
      <c r="B37" s="67" t="s">
        <v>52</v>
      </c>
      <c r="C37" s="66">
        <v>33923.373</v>
      </c>
      <c r="D37" s="66" t="s">
        <v>71</v>
      </c>
      <c r="E37">
        <f t="shared" si="0"/>
        <v>3714.9865900133373</v>
      </c>
      <c r="F37">
        <f t="shared" si="1"/>
        <v>3715</v>
      </c>
      <c r="G37">
        <f t="shared" si="2"/>
        <v>-1.7484999996668193E-2</v>
      </c>
      <c r="I37">
        <f t="shared" si="4"/>
        <v>-1.7484999996668193E-2</v>
      </c>
      <c r="Q37" s="2">
        <f t="shared" si="3"/>
        <v>18904.873</v>
      </c>
      <c r="R37" s="2"/>
      <c r="S37">
        <f t="shared" si="5"/>
        <v>3.0572522488348674E-4</v>
      </c>
      <c r="U37" s="68"/>
      <c r="V37" s="68"/>
      <c r="W37" s="68"/>
      <c r="X37" s="68"/>
      <c r="Y37" s="68"/>
      <c r="Z37" s="68"/>
      <c r="AA37" s="68"/>
      <c r="AB37" s="68"/>
    </row>
    <row r="38" spans="1:28" x14ac:dyDescent="0.2">
      <c r="A38" s="66" t="s">
        <v>78</v>
      </c>
      <c r="B38" s="67" t="s">
        <v>52</v>
      </c>
      <c r="C38" s="66">
        <v>33928.584000000003</v>
      </c>
      <c r="D38" s="66" t="s">
        <v>71</v>
      </c>
      <c r="E38">
        <f t="shared" si="0"/>
        <v>3718.983126501771</v>
      </c>
      <c r="F38">
        <f t="shared" si="1"/>
        <v>3719</v>
      </c>
      <c r="G38">
        <f t="shared" si="2"/>
        <v>-2.2000999997544568E-2</v>
      </c>
      <c r="I38">
        <f t="shared" si="4"/>
        <v>-2.2000999997544568E-2</v>
      </c>
      <c r="Q38" s="2">
        <f t="shared" si="3"/>
        <v>18910.084000000003</v>
      </c>
      <c r="R38" s="2"/>
      <c r="S38">
        <f t="shared" si="5"/>
        <v>4.8404400089195609E-4</v>
      </c>
      <c r="U38" s="68"/>
      <c r="V38" s="68"/>
      <c r="W38" s="68"/>
      <c r="X38" s="68"/>
      <c r="Y38" s="68"/>
      <c r="Z38" s="68"/>
      <c r="AA38" s="68"/>
      <c r="AB38" s="68"/>
    </row>
    <row r="39" spans="1:28" x14ac:dyDescent="0.2">
      <c r="A39" s="66" t="s">
        <v>130</v>
      </c>
      <c r="B39" s="67" t="s">
        <v>52</v>
      </c>
      <c r="C39" s="66">
        <v>47139.605000000003</v>
      </c>
      <c r="D39" s="66" t="s">
        <v>71</v>
      </c>
      <c r="E39">
        <f t="shared" si="0"/>
        <v>13851.074371164812</v>
      </c>
      <c r="F39">
        <f t="shared" si="1"/>
        <v>13851</v>
      </c>
      <c r="G39">
        <f t="shared" si="2"/>
        <v>9.6970999999030028E-2</v>
      </c>
      <c r="K39">
        <f>+G39</f>
        <v>9.6970999999030028E-2</v>
      </c>
      <c r="Q39" s="2">
        <f t="shared" si="3"/>
        <v>32121.105000000003</v>
      </c>
      <c r="R39" s="2"/>
      <c r="S39">
        <f t="shared" si="5"/>
        <v>9.403374840811881E-3</v>
      </c>
    </row>
    <row r="40" spans="1:28" x14ac:dyDescent="0.2">
      <c r="A40" s="27" t="s">
        <v>29</v>
      </c>
      <c r="B40" s="27"/>
      <c r="C40" s="28">
        <v>48096.531999999999</v>
      </c>
      <c r="D40" s="28"/>
      <c r="E40">
        <f t="shared" si="0"/>
        <v>14584.982195433779</v>
      </c>
      <c r="F40">
        <f t="shared" si="1"/>
        <v>14585</v>
      </c>
      <c r="Q40" s="2">
        <f t="shared" si="3"/>
        <v>33078.031999999999</v>
      </c>
      <c r="R40" s="2"/>
      <c r="S40">
        <f>+(O40-U40)^2</f>
        <v>5.389362250498356E-4</v>
      </c>
      <c r="U40">
        <f>+C40-(C$7+F40*C$8)</f>
        <v>-2.3215000001073349E-2</v>
      </c>
    </row>
    <row r="41" spans="1:28" x14ac:dyDescent="0.2">
      <c r="A41" s="66" t="s">
        <v>130</v>
      </c>
      <c r="B41" s="67" t="s">
        <v>52</v>
      </c>
      <c r="C41" s="66">
        <v>48503.500999999997</v>
      </c>
      <c r="D41" s="66" t="s">
        <v>71</v>
      </c>
      <c r="E41">
        <f t="shared" si="0"/>
        <v>14897.103949062755</v>
      </c>
      <c r="F41">
        <f t="shared" si="1"/>
        <v>14897</v>
      </c>
      <c r="G41">
        <f>+C41-(C$7+F41*C$8)</f>
        <v>0.13553700000193203</v>
      </c>
      <c r="K41">
        <f>+G41</f>
        <v>0.13553700000193203</v>
      </c>
      <c r="Q41" s="2">
        <f t="shared" si="3"/>
        <v>33485.000999999997</v>
      </c>
      <c r="R41" s="2"/>
      <c r="S41">
        <f>+(O41-G41)^2</f>
        <v>1.8370278369523724E-2</v>
      </c>
    </row>
    <row r="42" spans="1:28" x14ac:dyDescent="0.2">
      <c r="A42" s="66" t="s">
        <v>130</v>
      </c>
      <c r="B42" s="67" t="s">
        <v>36</v>
      </c>
      <c r="C42" s="66">
        <v>48539.387000000002</v>
      </c>
      <c r="D42" s="66" t="s">
        <v>71</v>
      </c>
      <c r="E42">
        <f t="shared" si="0"/>
        <v>14924.626441563982</v>
      </c>
      <c r="F42">
        <f t="shared" si="1"/>
        <v>14924.5</v>
      </c>
      <c r="G42">
        <f>+C42-(C$7+F42*C$8)</f>
        <v>0.16486450000229524</v>
      </c>
      <c r="K42">
        <f>+G42</f>
        <v>0.16486450000229524</v>
      </c>
      <c r="Q42" s="2">
        <f t="shared" si="3"/>
        <v>33520.887000000002</v>
      </c>
      <c r="R42" s="2"/>
      <c r="S42">
        <f>+(O42-G42)^2</f>
        <v>2.7180303361006807E-2</v>
      </c>
    </row>
    <row r="43" spans="1:28" x14ac:dyDescent="0.2">
      <c r="A43" s="27" t="s">
        <v>30</v>
      </c>
      <c r="B43" s="27"/>
      <c r="C43" s="28">
        <v>49310.394999999997</v>
      </c>
      <c r="D43" s="28">
        <v>6.0000000000000001E-3</v>
      </c>
      <c r="E43">
        <f t="shared" si="0"/>
        <v>15515.945114538999</v>
      </c>
      <c r="F43">
        <f t="shared" si="1"/>
        <v>15516</v>
      </c>
      <c r="Q43" s="2">
        <f t="shared" si="3"/>
        <v>34291.894999999997</v>
      </c>
      <c r="R43" s="2"/>
      <c r="S43">
        <f>+(O43-U43)^2</f>
        <v>5.1214060967600004E-3</v>
      </c>
      <c r="U43">
        <f>+C43-(C$7+F43*C$8)</f>
        <v>-7.1564000005309936E-2</v>
      </c>
    </row>
    <row r="44" spans="1:28" x14ac:dyDescent="0.2">
      <c r="A44" s="27" t="s">
        <v>33</v>
      </c>
      <c r="B44" s="28"/>
      <c r="C44" s="28">
        <v>49615.712</v>
      </c>
      <c r="D44" s="28">
        <v>1E-3</v>
      </c>
      <c r="E44">
        <f t="shared" si="0"/>
        <v>15750.105646306138</v>
      </c>
      <c r="F44">
        <f t="shared" si="1"/>
        <v>15750</v>
      </c>
      <c r="G44">
        <f t="shared" ref="G44:G67" si="6">+C44-(C$7+F44*C$8)</f>
        <v>0.13774999999441206</v>
      </c>
      <c r="J44">
        <f>+G44</f>
        <v>0.13774999999441206</v>
      </c>
      <c r="Q44" s="2">
        <f t="shared" si="3"/>
        <v>34597.212</v>
      </c>
      <c r="R44" s="2" t="s">
        <v>66</v>
      </c>
      <c r="S44">
        <f t="shared" ref="S44:S67" si="7">+(O44-G44)^2</f>
        <v>1.8975062498460524E-2</v>
      </c>
    </row>
    <row r="45" spans="1:28" x14ac:dyDescent="0.2">
      <c r="A45" s="27" t="s">
        <v>33</v>
      </c>
      <c r="B45" s="29"/>
      <c r="C45" s="28">
        <v>49627.450199999999</v>
      </c>
      <c r="D45" s="28">
        <v>2.9999999999999997E-4</v>
      </c>
      <c r="E45">
        <f t="shared" si="0"/>
        <v>15759.108168779465</v>
      </c>
      <c r="F45">
        <f t="shared" si="1"/>
        <v>15759</v>
      </c>
      <c r="G45">
        <f t="shared" si="6"/>
        <v>0.14103900000191061</v>
      </c>
      <c r="J45">
        <f>+G45</f>
        <v>0.14103900000191061</v>
      </c>
      <c r="Q45" s="2">
        <f t="shared" si="3"/>
        <v>34608.950199999999</v>
      </c>
      <c r="R45" s="2" t="s">
        <v>66</v>
      </c>
      <c r="S45">
        <f t="shared" si="7"/>
        <v>1.9891999521538941E-2</v>
      </c>
    </row>
    <row r="46" spans="1:28" x14ac:dyDescent="0.2">
      <c r="A46" s="27" t="s">
        <v>33</v>
      </c>
      <c r="B46" s="29"/>
      <c r="C46" s="28">
        <v>49644.399100000002</v>
      </c>
      <c r="D46" s="28">
        <v>2.0000000000000001E-4</v>
      </c>
      <c r="E46">
        <f t="shared" si="0"/>
        <v>15772.106997658528</v>
      </c>
      <c r="F46">
        <f t="shared" si="1"/>
        <v>15772</v>
      </c>
      <c r="G46">
        <f t="shared" si="6"/>
        <v>0.1395120000015595</v>
      </c>
      <c r="J46">
        <f>+G46</f>
        <v>0.1395120000015595</v>
      </c>
      <c r="Q46" s="2">
        <f t="shared" si="3"/>
        <v>34625.899100000002</v>
      </c>
      <c r="R46" s="2" t="s">
        <v>66</v>
      </c>
      <c r="S46">
        <f t="shared" si="7"/>
        <v>1.946359814443514E-2</v>
      </c>
    </row>
    <row r="47" spans="1:28" x14ac:dyDescent="0.2">
      <c r="A47" s="27" t="s">
        <v>34</v>
      </c>
      <c r="B47" s="27"/>
      <c r="C47" s="30">
        <v>50344.585200000001</v>
      </c>
      <c r="D47" s="30">
        <v>2.9999999999999997E-4</v>
      </c>
      <c r="E47">
        <f t="shared" si="0"/>
        <v>16309.109357540079</v>
      </c>
      <c r="F47">
        <f t="shared" si="1"/>
        <v>16309</v>
      </c>
      <c r="G47">
        <f t="shared" si="6"/>
        <v>0.14258900000277208</v>
      </c>
      <c r="J47">
        <f>+G47</f>
        <v>0.14258900000277208</v>
      </c>
      <c r="Q47" s="2">
        <f t="shared" si="3"/>
        <v>35326.085200000001</v>
      </c>
      <c r="R47" s="2" t="s">
        <v>66</v>
      </c>
      <c r="S47">
        <f t="shared" si="7"/>
        <v>2.0331622921790537E-2</v>
      </c>
    </row>
    <row r="48" spans="1:28" x14ac:dyDescent="0.2">
      <c r="A48" s="27" t="s">
        <v>31</v>
      </c>
      <c r="B48" s="27"/>
      <c r="C48" s="28">
        <v>50636.595999999998</v>
      </c>
      <c r="D48" s="28">
        <v>6.0000000000000001E-3</v>
      </c>
      <c r="E48">
        <f t="shared" si="0"/>
        <v>16533.064801258399</v>
      </c>
      <c r="F48">
        <f t="shared" si="1"/>
        <v>16533</v>
      </c>
      <c r="G48">
        <f t="shared" si="6"/>
        <v>8.4492999994836282E-2</v>
      </c>
      <c r="I48">
        <f>+G48</f>
        <v>8.4492999994836282E-2</v>
      </c>
      <c r="Q48" s="2">
        <f t="shared" si="3"/>
        <v>35618.095999999998</v>
      </c>
      <c r="R48" s="2"/>
      <c r="S48">
        <f t="shared" si="7"/>
        <v>7.1390670481274038E-3</v>
      </c>
    </row>
    <row r="49" spans="1:28" x14ac:dyDescent="0.2">
      <c r="A49" s="27" t="s">
        <v>31</v>
      </c>
      <c r="B49" s="27"/>
      <c r="C49" s="28">
        <v>50717.474999999999</v>
      </c>
      <c r="D49" s="28">
        <v>0.01</v>
      </c>
      <c r="E49">
        <f t="shared" si="0"/>
        <v>16595.094330072039</v>
      </c>
      <c r="F49">
        <f t="shared" si="1"/>
        <v>16595</v>
      </c>
      <c r="G49">
        <f t="shared" si="6"/>
        <v>0.12299499999789987</v>
      </c>
      <c r="I49">
        <f>+G49</f>
        <v>0.12299499999789987</v>
      </c>
      <c r="Q49" s="2">
        <f t="shared" si="3"/>
        <v>35698.974999999999</v>
      </c>
      <c r="R49" s="2"/>
      <c r="S49">
        <f t="shared" si="7"/>
        <v>1.5127770024483388E-2</v>
      </c>
    </row>
    <row r="50" spans="1:28" x14ac:dyDescent="0.2">
      <c r="A50" s="12" t="s">
        <v>35</v>
      </c>
      <c r="B50" s="34" t="s">
        <v>36</v>
      </c>
      <c r="C50" s="35">
        <v>51766.4568</v>
      </c>
      <c r="D50" s="35">
        <v>1.1999999999999999E-3</v>
      </c>
      <c r="E50">
        <f t="shared" si="0"/>
        <v>17399.602877260852</v>
      </c>
      <c r="F50">
        <f t="shared" si="1"/>
        <v>17399.5</v>
      </c>
      <c r="G50">
        <f t="shared" si="6"/>
        <v>0.13413950000540353</v>
      </c>
      <c r="J50">
        <f>+G50</f>
        <v>0.13413950000540353</v>
      </c>
      <c r="Q50" s="2">
        <f t="shared" si="3"/>
        <v>36747.9568</v>
      </c>
      <c r="R50" s="2" t="s">
        <v>66</v>
      </c>
      <c r="S50">
        <f t="shared" si="7"/>
        <v>1.7993405461699655E-2</v>
      </c>
    </row>
    <row r="51" spans="1:28" x14ac:dyDescent="0.2">
      <c r="A51" s="12" t="s">
        <v>35</v>
      </c>
      <c r="B51" s="34" t="s">
        <v>36</v>
      </c>
      <c r="C51" s="35">
        <v>52122.414400000001</v>
      </c>
      <c r="D51" s="35">
        <v>1.6999999999999999E-3</v>
      </c>
      <c r="E51">
        <f t="shared" si="0"/>
        <v>17672.601828850686</v>
      </c>
      <c r="F51">
        <f t="shared" si="1"/>
        <v>17672.5</v>
      </c>
      <c r="G51">
        <f t="shared" si="6"/>
        <v>0.13277250000101048</v>
      </c>
      <c r="J51">
        <f>+G51</f>
        <v>0.13277250000101048</v>
      </c>
      <c r="Q51" s="2">
        <f t="shared" si="3"/>
        <v>37103.914400000001</v>
      </c>
      <c r="R51" s="2" t="s">
        <v>66</v>
      </c>
      <c r="S51">
        <f t="shared" si="7"/>
        <v>1.7628536756518331E-2</v>
      </c>
    </row>
    <row r="52" spans="1:28" x14ac:dyDescent="0.2">
      <c r="A52" s="36" t="s">
        <v>32</v>
      </c>
      <c r="B52" s="36"/>
      <c r="C52" s="12">
        <v>52146.533300000003</v>
      </c>
      <c r="D52" s="12">
        <v>2.0000000000000001E-4</v>
      </c>
      <c r="E52">
        <f t="shared" si="0"/>
        <v>17691.099634245205</v>
      </c>
      <c r="F52">
        <f t="shared" si="1"/>
        <v>17691</v>
      </c>
      <c r="G52">
        <f t="shared" si="6"/>
        <v>0.12991100000363076</v>
      </c>
      <c r="J52">
        <f>+G52</f>
        <v>0.12991100000363076</v>
      </c>
      <c r="Q52" s="2">
        <f t="shared" si="3"/>
        <v>37128.033300000003</v>
      </c>
      <c r="R52" s="2" t="s">
        <v>66</v>
      </c>
      <c r="S52">
        <f t="shared" si="7"/>
        <v>1.6876867921943352E-2</v>
      </c>
    </row>
    <row r="53" spans="1:28" x14ac:dyDescent="0.2">
      <c r="A53" s="66" t="s">
        <v>183</v>
      </c>
      <c r="B53" s="67" t="s">
        <v>52</v>
      </c>
      <c r="C53" s="66">
        <v>52146.5334</v>
      </c>
      <c r="D53" s="66" t="s">
        <v>71</v>
      </c>
      <c r="E53">
        <f t="shared" ref="E53:E67" si="8">+(C53-C$7)/C$8</f>
        <v>17691.099710939438</v>
      </c>
      <c r="F53">
        <f t="shared" ref="F53:F67" si="9">ROUND(2*E53,0)/2</f>
        <v>17691</v>
      </c>
      <c r="G53">
        <f t="shared" si="6"/>
        <v>0.13001100000110455</v>
      </c>
      <c r="K53">
        <f>+G53</f>
        <v>0.13001100000110455</v>
      </c>
      <c r="Q53" s="2">
        <f t="shared" ref="Q53:Q67" si="10">+C53-15018.5</f>
        <v>37128.0334</v>
      </c>
      <c r="R53" s="2"/>
      <c r="S53">
        <f t="shared" si="7"/>
        <v>1.6902860121287208E-2</v>
      </c>
      <c r="U53" s="68"/>
      <c r="V53" s="68"/>
      <c r="W53" s="68"/>
      <c r="X53" s="68"/>
      <c r="Y53" s="68"/>
      <c r="Z53" s="68"/>
      <c r="AA53" s="68"/>
      <c r="AB53" s="68"/>
    </row>
    <row r="54" spans="1:28" x14ac:dyDescent="0.2">
      <c r="A54" s="37" t="s">
        <v>54</v>
      </c>
      <c r="B54" s="38" t="s">
        <v>52</v>
      </c>
      <c r="C54" s="37">
        <v>52146.535129999997</v>
      </c>
      <c r="D54" s="37">
        <v>1.2999999999999999E-3</v>
      </c>
      <c r="E54">
        <f t="shared" si="8"/>
        <v>17691.101037749668</v>
      </c>
      <c r="F54">
        <f t="shared" si="9"/>
        <v>17691</v>
      </c>
      <c r="G54">
        <f t="shared" si="6"/>
        <v>0.13174099999741884</v>
      </c>
      <c r="K54">
        <f>+G54</f>
        <v>0.13174099999741884</v>
      </c>
      <c r="Q54" s="2">
        <f t="shared" si="10"/>
        <v>37128.035129999997</v>
      </c>
      <c r="R54" s="2" t="s">
        <v>271</v>
      </c>
      <c r="S54">
        <f t="shared" si="7"/>
        <v>1.735569108031991E-2</v>
      </c>
    </row>
    <row r="55" spans="1:28" x14ac:dyDescent="0.2">
      <c r="A55" s="31" t="s">
        <v>51</v>
      </c>
      <c r="B55" s="39" t="s">
        <v>52</v>
      </c>
      <c r="C55" s="12">
        <v>52180.435100000002</v>
      </c>
      <c r="D55" s="12">
        <v>1.2999999999999999E-3</v>
      </c>
      <c r="E55">
        <f t="shared" si="8"/>
        <v>17717.100359772649</v>
      </c>
      <c r="F55">
        <f t="shared" si="9"/>
        <v>17717</v>
      </c>
      <c r="G55">
        <f t="shared" si="6"/>
        <v>0.13085700000374345</v>
      </c>
      <c r="J55">
        <f>+G55</f>
        <v>0.13085700000374345</v>
      </c>
      <c r="Q55" s="2">
        <f t="shared" si="10"/>
        <v>37161.935100000002</v>
      </c>
      <c r="R55" s="2" t="s">
        <v>66</v>
      </c>
      <c r="S55">
        <f t="shared" si="7"/>
        <v>1.7123554449979712E-2</v>
      </c>
    </row>
    <row r="56" spans="1:28" x14ac:dyDescent="0.2">
      <c r="A56" s="36" t="s">
        <v>45</v>
      </c>
      <c r="B56" s="36"/>
      <c r="C56" s="12">
        <v>53283.507599999997</v>
      </c>
      <c r="D56" s="12">
        <v>5.0000000000000001E-4</v>
      </c>
      <c r="E56">
        <f t="shared" si="8"/>
        <v>18563.093354521392</v>
      </c>
      <c r="F56">
        <f t="shared" si="9"/>
        <v>18563</v>
      </c>
      <c r="G56">
        <f t="shared" si="6"/>
        <v>0.12172299999656389</v>
      </c>
      <c r="K56">
        <f>+G56</f>
        <v>0.12172299999656389</v>
      </c>
      <c r="O56">
        <f t="shared" ref="O56:O67" ca="1" si="11">+C$11+C$12*F56</f>
        <v>9.296391589795272E-2</v>
      </c>
      <c r="Q56" s="2">
        <f t="shared" si="10"/>
        <v>38265.007599999997</v>
      </c>
      <c r="R56" s="2" t="s">
        <v>64</v>
      </c>
      <c r="S56">
        <f t="shared" ca="1" si="7"/>
        <v>8.2708491819098956E-4</v>
      </c>
    </row>
    <row r="57" spans="1:28" x14ac:dyDescent="0.2">
      <c r="A57" s="40" t="s">
        <v>43</v>
      </c>
      <c r="B57" s="34" t="s">
        <v>36</v>
      </c>
      <c r="C57" s="12">
        <v>53349.356099999997</v>
      </c>
      <c r="D57" s="12">
        <v>1.9E-3</v>
      </c>
      <c r="E57">
        <f t="shared" si="8"/>
        <v>18613.595356624348</v>
      </c>
      <c r="F57">
        <f t="shared" si="9"/>
        <v>18613.5</v>
      </c>
      <c r="G57">
        <f t="shared" si="6"/>
        <v>0.12433349999628263</v>
      </c>
      <c r="J57">
        <f>+G57</f>
        <v>0.12433349999628263</v>
      </c>
      <c r="O57">
        <f t="shared" ca="1" si="11"/>
        <v>9.4250411816041324E-2</v>
      </c>
      <c r="Q57" s="2">
        <f t="shared" si="10"/>
        <v>38330.856099999997</v>
      </c>
      <c r="R57" s="2" t="s">
        <v>66</v>
      </c>
      <c r="S57">
        <f t="shared" ca="1" si="7"/>
        <v>9.0499219446017395E-4</v>
      </c>
    </row>
    <row r="58" spans="1:28" x14ac:dyDescent="0.2">
      <c r="A58" s="33" t="s">
        <v>44</v>
      </c>
      <c r="B58" s="29"/>
      <c r="C58" s="28">
        <v>53656.414700000001</v>
      </c>
      <c r="D58" s="28">
        <v>1.1000000000000001E-3</v>
      </c>
      <c r="E58">
        <f t="shared" si="8"/>
        <v>18849.091595155685</v>
      </c>
      <c r="F58">
        <f t="shared" si="9"/>
        <v>18849</v>
      </c>
      <c r="G58">
        <f t="shared" si="6"/>
        <v>0.11942900000576628</v>
      </c>
      <c r="J58">
        <f>+G58</f>
        <v>0.11942900000576628</v>
      </c>
      <c r="O58">
        <f t="shared" ca="1" si="11"/>
        <v>0.10024981357267215</v>
      </c>
      <c r="Q58" s="2">
        <f t="shared" si="10"/>
        <v>38637.914700000001</v>
      </c>
      <c r="R58" s="2" t="s">
        <v>66</v>
      </c>
      <c r="S58">
        <f t="shared" ca="1" si="7"/>
        <v>3.6784119223538195E-4</v>
      </c>
    </row>
    <row r="59" spans="1:28" x14ac:dyDescent="0.2">
      <c r="A59" s="31" t="s">
        <v>51</v>
      </c>
      <c r="B59" s="32" t="s">
        <v>52</v>
      </c>
      <c r="C59" s="28">
        <v>54017.590600000003</v>
      </c>
      <c r="D59" s="28">
        <v>5.0000000000000001E-4</v>
      </c>
      <c r="E59">
        <f t="shared" si="8"/>
        <v>19126.092681912971</v>
      </c>
      <c r="F59">
        <f t="shared" si="9"/>
        <v>19126</v>
      </c>
      <c r="G59">
        <f t="shared" si="6"/>
        <v>0.12084599999798229</v>
      </c>
      <c r="J59">
        <f>+G59</f>
        <v>0.12084599999798229</v>
      </c>
      <c r="O59">
        <f t="shared" ca="1" si="11"/>
        <v>0.10730643474713819</v>
      </c>
      <c r="Q59" s="2">
        <f t="shared" si="10"/>
        <v>38999.090600000003</v>
      </c>
      <c r="R59" s="2" t="s">
        <v>66</v>
      </c>
      <c r="S59">
        <f t="shared" ca="1" si="7"/>
        <v>1.8331982718186503E-4</v>
      </c>
    </row>
    <row r="60" spans="1:28" x14ac:dyDescent="0.2">
      <c r="A60" s="66" t="s">
        <v>219</v>
      </c>
      <c r="B60" s="67" t="s">
        <v>52</v>
      </c>
      <c r="C60" s="66">
        <v>55072.4352</v>
      </c>
      <c r="D60" s="66" t="s">
        <v>71</v>
      </c>
      <c r="E60">
        <f t="shared" si="8"/>
        <v>19935.097658601757</v>
      </c>
      <c r="F60">
        <f t="shared" si="9"/>
        <v>19935</v>
      </c>
      <c r="G60">
        <f t="shared" si="6"/>
        <v>0.12733500000467757</v>
      </c>
      <c r="K60">
        <f>+G60</f>
        <v>0.12733500000467757</v>
      </c>
      <c r="O60">
        <f t="shared" ca="1" si="11"/>
        <v>0.12791584460325023</v>
      </c>
      <c r="Q60" s="2">
        <f t="shared" si="10"/>
        <v>40053.9352</v>
      </c>
      <c r="R60" s="2"/>
      <c r="S60">
        <f t="shared" ca="1" si="7"/>
        <v>3.3738044769103531E-7</v>
      </c>
    </row>
    <row r="61" spans="1:28" x14ac:dyDescent="0.2">
      <c r="A61" s="66" t="s">
        <v>219</v>
      </c>
      <c r="B61" s="67" t="s">
        <v>36</v>
      </c>
      <c r="C61" s="66">
        <v>55074.387999999999</v>
      </c>
      <c r="D61" s="66" t="s">
        <v>71</v>
      </c>
      <c r="E61">
        <f t="shared" si="8"/>
        <v>19936.59534358633</v>
      </c>
      <c r="F61">
        <f t="shared" si="9"/>
        <v>19936.5</v>
      </c>
      <c r="G61">
        <f t="shared" si="6"/>
        <v>0.12431649999780348</v>
      </c>
      <c r="K61">
        <f>+G61</f>
        <v>0.12431649999780348</v>
      </c>
      <c r="O61">
        <f t="shared" ca="1" si="11"/>
        <v>0.12795405735329246</v>
      </c>
      <c r="Q61" s="2">
        <f t="shared" si="10"/>
        <v>40055.887999999999</v>
      </c>
      <c r="R61" s="2"/>
      <c r="S61">
        <f t="shared" ca="1" si="7"/>
        <v>1.3231823514472019E-5</v>
      </c>
    </row>
    <row r="62" spans="1:28" x14ac:dyDescent="0.2">
      <c r="A62" s="66" t="s">
        <v>219</v>
      </c>
      <c r="B62" s="67" t="s">
        <v>52</v>
      </c>
      <c r="C62" s="66">
        <v>55076.347199999997</v>
      </c>
      <c r="D62" s="66" t="s">
        <v>71</v>
      </c>
      <c r="E62">
        <f t="shared" si="8"/>
        <v>19938.097937001821</v>
      </c>
      <c r="F62">
        <f t="shared" si="9"/>
        <v>19938</v>
      </c>
      <c r="G62">
        <f t="shared" si="6"/>
        <v>0.12769799999659881</v>
      </c>
      <c r="K62">
        <f>+G62</f>
        <v>0.12769799999659881</v>
      </c>
      <c r="O62">
        <f t="shared" ca="1" si="11"/>
        <v>0.12799227010333469</v>
      </c>
      <c r="Q62" s="2">
        <f t="shared" si="10"/>
        <v>40057.847199999997</v>
      </c>
      <c r="R62" s="2"/>
      <c r="S62">
        <f t="shared" ca="1" si="7"/>
        <v>8.6594895718348134E-8</v>
      </c>
    </row>
    <row r="63" spans="1:28" x14ac:dyDescent="0.2">
      <c r="A63" s="66" t="s">
        <v>219</v>
      </c>
      <c r="B63" s="67" t="s">
        <v>52</v>
      </c>
      <c r="C63" s="66">
        <v>55098.514600000002</v>
      </c>
      <c r="D63" s="66" t="s">
        <v>71</v>
      </c>
      <c r="E63">
        <f t="shared" si="8"/>
        <v>19955.099054436803</v>
      </c>
      <c r="F63">
        <f t="shared" si="9"/>
        <v>19955</v>
      </c>
      <c r="G63">
        <f t="shared" si="6"/>
        <v>0.12915500000235625</v>
      </c>
      <c r="K63">
        <f>+G63</f>
        <v>0.12915500000235625</v>
      </c>
      <c r="O63">
        <f t="shared" ca="1" si="11"/>
        <v>0.12842534793714666</v>
      </c>
      <c r="Q63" s="2">
        <f t="shared" si="10"/>
        <v>40080.014600000002</v>
      </c>
      <c r="R63" s="2"/>
      <c r="S63">
        <f t="shared" ca="1" si="7"/>
        <v>5.3239213626461249E-7</v>
      </c>
    </row>
    <row r="64" spans="1:28" x14ac:dyDescent="0.2">
      <c r="A64" s="51" t="s">
        <v>61</v>
      </c>
      <c r="B64" s="51"/>
      <c r="C64" s="47">
        <v>55409.495499999997</v>
      </c>
      <c r="D64" s="47">
        <v>5.0000000000000001E-3</v>
      </c>
      <c r="E64">
        <f t="shared" si="8"/>
        <v>20193.603470874212</v>
      </c>
      <c r="F64">
        <f t="shared" si="9"/>
        <v>20193.5</v>
      </c>
      <c r="G64">
        <f t="shared" si="6"/>
        <v>0.13491349999821978</v>
      </c>
      <c r="J64">
        <f>+G64</f>
        <v>0.13491349999821978</v>
      </c>
      <c r="O64">
        <f t="shared" ca="1" si="11"/>
        <v>0.13450117519386207</v>
      </c>
      <c r="Q64" s="2">
        <f t="shared" si="10"/>
        <v>40390.995499999997</v>
      </c>
      <c r="R64" s="2" t="s">
        <v>66</v>
      </c>
      <c r="S64">
        <f t="shared" ca="1" si="7"/>
        <v>1.7001174428862468E-7</v>
      </c>
    </row>
    <row r="65" spans="1:19" x14ac:dyDescent="0.2">
      <c r="A65" s="44" t="s">
        <v>58</v>
      </c>
      <c r="B65" s="45" t="s">
        <v>36</v>
      </c>
      <c r="C65" s="44">
        <v>55495.553200000002</v>
      </c>
      <c r="D65" s="44">
        <v>4.0000000000000002E-4</v>
      </c>
      <c r="E65">
        <f t="shared" si="8"/>
        <v>20259.604763938987</v>
      </c>
      <c r="F65">
        <f t="shared" si="9"/>
        <v>20259.5</v>
      </c>
      <c r="G65">
        <f t="shared" si="6"/>
        <v>0.13659950000146637</v>
      </c>
      <c r="J65">
        <f>+G65</f>
        <v>0.13659950000146637</v>
      </c>
      <c r="O65">
        <f t="shared" ca="1" si="11"/>
        <v>0.13618253619572041</v>
      </c>
      <c r="Q65" s="2">
        <f t="shared" si="10"/>
        <v>40477.053200000002</v>
      </c>
      <c r="R65" s="2" t="s">
        <v>66</v>
      </c>
      <c r="S65">
        <f t="shared" ca="1" si="7"/>
        <v>1.7385881530215665E-7</v>
      </c>
    </row>
    <row r="66" spans="1:19" x14ac:dyDescent="0.2">
      <c r="A66" s="41" t="s">
        <v>57</v>
      </c>
      <c r="B66" s="42" t="s">
        <v>52</v>
      </c>
      <c r="C66" s="43">
        <v>55502.7235</v>
      </c>
      <c r="D66" s="43">
        <v>8.9999999999999998E-4</v>
      </c>
      <c r="E66">
        <f t="shared" si="8"/>
        <v>20265.103970537144</v>
      </c>
      <c r="F66">
        <f t="shared" si="9"/>
        <v>20265</v>
      </c>
      <c r="G66">
        <f t="shared" si="6"/>
        <v>0.13556499999685911</v>
      </c>
      <c r="K66">
        <f>+G66</f>
        <v>0.13556499999685911</v>
      </c>
      <c r="O66">
        <f t="shared" ca="1" si="11"/>
        <v>0.13632264961254192</v>
      </c>
      <c r="Q66" s="2">
        <f t="shared" si="10"/>
        <v>40484.2235</v>
      </c>
      <c r="R66" s="2" t="s">
        <v>270</v>
      </c>
      <c r="S66">
        <f t="shared" ca="1" si="7"/>
        <v>5.7403294014430877E-7</v>
      </c>
    </row>
    <row r="67" spans="1:19" x14ac:dyDescent="0.2">
      <c r="A67" s="66" t="s">
        <v>251</v>
      </c>
      <c r="B67" s="67" t="s">
        <v>36</v>
      </c>
      <c r="C67" s="66">
        <v>55838.479200000002</v>
      </c>
      <c r="D67" s="66" t="s">
        <v>71</v>
      </c>
      <c r="E67">
        <f t="shared" si="8"/>
        <v>20522.60922984418</v>
      </c>
      <c r="F67">
        <f t="shared" si="9"/>
        <v>20522.5</v>
      </c>
      <c r="G67">
        <f t="shared" si="6"/>
        <v>0.14242250000097556</v>
      </c>
      <c r="K67">
        <f>+G67</f>
        <v>0.14242250000097556</v>
      </c>
      <c r="O67">
        <f t="shared" ca="1" si="11"/>
        <v>0.14288250503645883</v>
      </c>
      <c r="Q67" s="2">
        <f t="shared" si="10"/>
        <v>40819.979200000002</v>
      </c>
      <c r="R67" s="2"/>
      <c r="S67">
        <f t="shared" ca="1" si="7"/>
        <v>2.1160463266996315E-7</v>
      </c>
    </row>
    <row r="68" spans="1:19" x14ac:dyDescent="0.2">
      <c r="A68" s="66" t="s">
        <v>251</v>
      </c>
      <c r="B68" s="67" t="s">
        <v>52</v>
      </c>
      <c r="C68" s="66">
        <v>55849.561500000003</v>
      </c>
      <c r="D68" s="66" t="s">
        <v>71</v>
      </c>
      <c r="E68">
        <f t="shared" ref="E68:E73" si="12">+(C68-C$7)/C$8</f>
        <v>20531.108714842409</v>
      </c>
      <c r="F68">
        <f t="shared" ref="F68:F73" si="13">ROUND(2*E68,0)/2</f>
        <v>20531</v>
      </c>
      <c r="G68">
        <f t="shared" ref="G68:G73" si="14">+C68-(C$7+F68*C$8)</f>
        <v>0.14175100000284147</v>
      </c>
      <c r="K68">
        <f>+G68</f>
        <v>0.14175100000284147</v>
      </c>
      <c r="O68">
        <f t="shared" ref="O68:O73" ca="1" si="15">+C$11+C$12*F68</f>
        <v>0.14309904395336492</v>
      </c>
      <c r="Q68" s="2">
        <f t="shared" ref="Q68:Q73" si="16">+C68-15018.5</f>
        <v>40831.061500000003</v>
      </c>
      <c r="R68" s="2"/>
      <c r="S68">
        <f t="shared" ref="S68:S73" ca="1" si="17">+(O68-G68)^2</f>
        <v>1.8172224925428933E-6</v>
      </c>
    </row>
    <row r="69" spans="1:19" x14ac:dyDescent="0.2">
      <c r="A69" s="66" t="s">
        <v>251</v>
      </c>
      <c r="B69" s="67" t="s">
        <v>52</v>
      </c>
      <c r="C69" s="66">
        <v>55874.336199999998</v>
      </c>
      <c r="D69" s="66" t="s">
        <v>71</v>
      </c>
      <c r="E69">
        <f t="shared" si="12"/>
        <v>20550.109481017793</v>
      </c>
      <c r="F69">
        <f t="shared" si="13"/>
        <v>20550</v>
      </c>
      <c r="G69">
        <f t="shared" si="14"/>
        <v>0.14274999999906868</v>
      </c>
      <c r="K69">
        <f>+G69</f>
        <v>0.14274999999906868</v>
      </c>
      <c r="O69">
        <f t="shared" ca="1" si="15"/>
        <v>0.14358307212056654</v>
      </c>
      <c r="Q69" s="2">
        <f t="shared" si="16"/>
        <v>40855.836199999998</v>
      </c>
      <c r="R69" s="2"/>
      <c r="S69">
        <f t="shared" ca="1" si="17"/>
        <v>6.9400915961694124E-7</v>
      </c>
    </row>
    <row r="70" spans="1:19" x14ac:dyDescent="0.2">
      <c r="A70" s="66" t="s">
        <v>251</v>
      </c>
      <c r="B70" s="67" t="s">
        <v>52</v>
      </c>
      <c r="C70" s="66">
        <v>55874.336300000003</v>
      </c>
      <c r="D70" s="66" t="s">
        <v>71</v>
      </c>
      <c r="E70">
        <f t="shared" si="12"/>
        <v>20550.109557712029</v>
      </c>
      <c r="F70">
        <f t="shared" si="13"/>
        <v>20550</v>
      </c>
      <c r="G70">
        <f t="shared" si="14"/>
        <v>0.14285000000381842</v>
      </c>
      <c r="K70">
        <f>+G70</f>
        <v>0.14285000000381842</v>
      </c>
      <c r="O70">
        <f t="shared" ca="1" si="15"/>
        <v>0.14358307212056654</v>
      </c>
      <c r="Q70" s="2">
        <f t="shared" si="16"/>
        <v>40855.836300000003</v>
      </c>
      <c r="R70" s="2"/>
      <c r="S70">
        <f t="shared" ca="1" si="17"/>
        <v>5.3739472835355819E-7</v>
      </c>
    </row>
    <row r="71" spans="1:19" x14ac:dyDescent="0.2">
      <c r="A71" s="49" t="s">
        <v>59</v>
      </c>
      <c r="B71" s="50" t="s">
        <v>52</v>
      </c>
      <c r="C71" s="43">
        <v>56132.512000000002</v>
      </c>
      <c r="D71" s="46"/>
      <c r="E71">
        <f t="shared" si="12"/>
        <v>20748.115430956401</v>
      </c>
      <c r="F71">
        <f t="shared" si="13"/>
        <v>20748</v>
      </c>
      <c r="G71">
        <f t="shared" si="14"/>
        <v>0.15050800000608433</v>
      </c>
      <c r="J71">
        <f>+G71</f>
        <v>0.15050800000608433</v>
      </c>
      <c r="O71">
        <f t="shared" ca="1" si="15"/>
        <v>0.14862715512614155</v>
      </c>
      <c r="Q71" s="2">
        <f t="shared" si="16"/>
        <v>41114.012000000002</v>
      </c>
      <c r="R71" s="2" t="s">
        <v>66</v>
      </c>
      <c r="S71">
        <f t="shared" ca="1" si="17"/>
        <v>3.5375774624069629E-6</v>
      </c>
    </row>
    <row r="72" spans="1:19" x14ac:dyDescent="0.2">
      <c r="A72" s="73" t="s">
        <v>273</v>
      </c>
      <c r="B72" s="74" t="s">
        <v>52</v>
      </c>
      <c r="C72" s="75">
        <v>57646.347300000023</v>
      </c>
      <c r="D72" s="75">
        <v>2.9999999999999997E-4</v>
      </c>
      <c r="E72">
        <f t="shared" si="12"/>
        <v>21909.139805150648</v>
      </c>
      <c r="F72">
        <f t="shared" si="13"/>
        <v>21909</v>
      </c>
      <c r="G72">
        <f t="shared" si="14"/>
        <v>0.18228900001849979</v>
      </c>
      <c r="K72">
        <f>+G72</f>
        <v>0.18228900001849979</v>
      </c>
      <c r="O72">
        <f t="shared" ca="1" si="15"/>
        <v>0.17820382365883136</v>
      </c>
      <c r="Q72" s="2">
        <f t="shared" si="16"/>
        <v>42627.847300000023</v>
      </c>
      <c r="R72" s="2"/>
      <c r="S72">
        <f t="shared" ca="1" si="17"/>
        <v>1.6688665889593804E-5</v>
      </c>
    </row>
    <row r="73" spans="1:19" x14ac:dyDescent="0.2">
      <c r="A73" s="72" t="s">
        <v>272</v>
      </c>
      <c r="B73" s="6"/>
      <c r="C73" s="53">
        <v>58767.698400000001</v>
      </c>
      <c r="D73" s="53">
        <v>2.0000000000000001E-4</v>
      </c>
      <c r="E73">
        <f t="shared" si="12"/>
        <v>22769.151431996375</v>
      </c>
      <c r="F73">
        <f t="shared" si="13"/>
        <v>22769</v>
      </c>
      <c r="G73">
        <f t="shared" si="14"/>
        <v>0.19744900000659982</v>
      </c>
      <c r="K73">
        <f>+G73</f>
        <v>0.19744900000659982</v>
      </c>
      <c r="O73">
        <f t="shared" ca="1" si="15"/>
        <v>0.2001124670163793</v>
      </c>
      <c r="Q73" s="2">
        <f t="shared" si="16"/>
        <v>43749.198400000001</v>
      </c>
      <c r="R73" s="2"/>
      <c r="S73">
        <f t="shared" ca="1" si="17"/>
        <v>7.0940565121836734E-6</v>
      </c>
    </row>
    <row r="74" spans="1:19" x14ac:dyDescent="0.2">
      <c r="B74" s="6"/>
    </row>
    <row r="75" spans="1:19" x14ac:dyDescent="0.2">
      <c r="B75" s="6"/>
    </row>
    <row r="76" spans="1:19" x14ac:dyDescent="0.2">
      <c r="B76" s="6"/>
    </row>
    <row r="77" spans="1:19" x14ac:dyDescent="0.2">
      <c r="B77" s="6"/>
    </row>
    <row r="78" spans="1:19" x14ac:dyDescent="0.2">
      <c r="B78" s="6"/>
    </row>
    <row r="79" spans="1:19" x14ac:dyDescent="0.2">
      <c r="B79" s="6"/>
    </row>
    <row r="80" spans="1:19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</sheetData>
  <protectedRanges>
    <protectedRange sqref="A73:D73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09"/>
  <sheetViews>
    <sheetView topLeftCell="A16" workbookViewId="0">
      <selection activeCell="A31" sqref="A31:D59"/>
    </sheetView>
  </sheetViews>
  <sheetFormatPr defaultRowHeight="12.75" x14ac:dyDescent="0.2"/>
  <cols>
    <col min="1" max="1" width="19.7109375" style="53" customWidth="1"/>
    <col min="2" max="2" width="4.42578125" style="14" customWidth="1"/>
    <col min="3" max="3" width="12.7109375" style="5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5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2" t="s">
        <v>62</v>
      </c>
      <c r="I1" s="54" t="s">
        <v>63</v>
      </c>
      <c r="J1" s="55" t="s">
        <v>64</v>
      </c>
    </row>
    <row r="2" spans="1:16" x14ac:dyDescent="0.2">
      <c r="I2" s="56" t="s">
        <v>65</v>
      </c>
      <c r="J2" s="57" t="s">
        <v>66</v>
      </c>
    </row>
    <row r="3" spans="1:16" x14ac:dyDescent="0.2">
      <c r="A3" s="58" t="s">
        <v>67</v>
      </c>
      <c r="I3" s="56" t="s">
        <v>41</v>
      </c>
      <c r="J3" s="57" t="s">
        <v>68</v>
      </c>
    </row>
    <row r="4" spans="1:16" x14ac:dyDescent="0.2">
      <c r="I4" s="56" t="s">
        <v>69</v>
      </c>
      <c r="J4" s="57" t="s">
        <v>68</v>
      </c>
    </row>
    <row r="5" spans="1:16" ht="13.5" thickBot="1" x14ac:dyDescent="0.25">
      <c r="I5" s="59" t="s">
        <v>70</v>
      </c>
      <c r="J5" s="60" t="s">
        <v>71</v>
      </c>
    </row>
    <row r="10" spans="1:16" ht="13.5" thickBot="1" x14ac:dyDescent="0.25"/>
    <row r="11" spans="1:16" ht="12.75" customHeight="1" thickBot="1" x14ac:dyDescent="0.25">
      <c r="A11" s="53" t="str">
        <f t="shared" ref="A11:A42" si="0">P11</f>
        <v> BBS 96 </v>
      </c>
      <c r="B11" s="6" t="str">
        <f t="shared" ref="B11:B42" si="1">IF(H11=INT(H11),"I","II")</f>
        <v>I</v>
      </c>
      <c r="C11" s="53">
        <f t="shared" ref="C11:C42" si="2">1*G11</f>
        <v>48096.531999999999</v>
      </c>
      <c r="D11" s="14" t="str">
        <f t="shared" ref="D11:D42" si="3">VLOOKUP(F11,I$1:J$5,2,FALSE)</f>
        <v>vis</v>
      </c>
      <c r="E11" s="61">
        <f>VLOOKUP(C11,Active!C$21:E$973,3,FALSE)</f>
        <v>14584.982195433779</v>
      </c>
      <c r="F11" s="6" t="s">
        <v>70</v>
      </c>
      <c r="G11" s="14" t="str">
        <f t="shared" ref="G11:G42" si="4">MID(I11,3,LEN(I11)-3)</f>
        <v>48096.532</v>
      </c>
      <c r="H11" s="53">
        <f t="shared" ref="H11:H42" si="5">1*K11</f>
        <v>14585</v>
      </c>
      <c r="I11" s="62" t="s">
        <v>131</v>
      </c>
      <c r="J11" s="63" t="s">
        <v>132</v>
      </c>
      <c r="K11" s="62">
        <v>14585</v>
      </c>
      <c r="L11" s="62" t="s">
        <v>133</v>
      </c>
      <c r="M11" s="63" t="s">
        <v>134</v>
      </c>
      <c r="N11" s="63"/>
      <c r="O11" s="64" t="s">
        <v>135</v>
      </c>
      <c r="P11" s="64" t="s">
        <v>136</v>
      </c>
    </row>
    <row r="12" spans="1:16" ht="12.75" customHeight="1" thickBot="1" x14ac:dyDescent="0.25">
      <c r="A12" s="53" t="str">
        <f t="shared" si="0"/>
        <v> BBS 107 </v>
      </c>
      <c r="B12" s="6" t="str">
        <f t="shared" si="1"/>
        <v>I</v>
      </c>
      <c r="C12" s="53">
        <f t="shared" si="2"/>
        <v>49310.394999999997</v>
      </c>
      <c r="D12" s="14" t="str">
        <f t="shared" si="3"/>
        <v>vis</v>
      </c>
      <c r="E12" s="61">
        <f>VLOOKUP(C12,Active!C$21:E$973,3,FALSE)</f>
        <v>15515.945114538999</v>
      </c>
      <c r="F12" s="6" t="s">
        <v>70</v>
      </c>
      <c r="G12" s="14" t="str">
        <f t="shared" si="4"/>
        <v>49310.395</v>
      </c>
      <c r="H12" s="53">
        <f t="shared" si="5"/>
        <v>15516</v>
      </c>
      <c r="I12" s="62" t="s">
        <v>143</v>
      </c>
      <c r="J12" s="63" t="s">
        <v>144</v>
      </c>
      <c r="K12" s="62">
        <v>15516</v>
      </c>
      <c r="L12" s="62" t="s">
        <v>145</v>
      </c>
      <c r="M12" s="63" t="s">
        <v>134</v>
      </c>
      <c r="N12" s="63"/>
      <c r="O12" s="64" t="s">
        <v>135</v>
      </c>
      <c r="P12" s="64" t="s">
        <v>146</v>
      </c>
    </row>
    <row r="13" spans="1:16" ht="12.75" customHeight="1" thickBot="1" x14ac:dyDescent="0.25">
      <c r="A13" s="53" t="str">
        <f t="shared" si="0"/>
        <v>BAVM 132 </v>
      </c>
      <c r="B13" s="6" t="str">
        <f t="shared" si="1"/>
        <v>I</v>
      </c>
      <c r="C13" s="53">
        <f t="shared" si="2"/>
        <v>49615.712</v>
      </c>
      <c r="D13" s="14" t="str">
        <f t="shared" si="3"/>
        <v>vis</v>
      </c>
      <c r="E13" s="61">
        <f>VLOOKUP(C13,Active!C$21:E$973,3,FALSE)</f>
        <v>15750.105646306138</v>
      </c>
      <c r="F13" s="6" t="s">
        <v>70</v>
      </c>
      <c r="G13" s="14" t="str">
        <f t="shared" si="4"/>
        <v>49615.712</v>
      </c>
      <c r="H13" s="53">
        <f t="shared" si="5"/>
        <v>15750</v>
      </c>
      <c r="I13" s="62" t="s">
        <v>147</v>
      </c>
      <c r="J13" s="63" t="s">
        <v>148</v>
      </c>
      <c r="K13" s="62">
        <v>15750</v>
      </c>
      <c r="L13" s="62" t="s">
        <v>149</v>
      </c>
      <c r="M13" s="63" t="s">
        <v>150</v>
      </c>
      <c r="N13" s="63" t="s">
        <v>151</v>
      </c>
      <c r="O13" s="64" t="s">
        <v>152</v>
      </c>
      <c r="P13" s="65" t="s">
        <v>153</v>
      </c>
    </row>
    <row r="14" spans="1:16" ht="12.75" customHeight="1" thickBot="1" x14ac:dyDescent="0.25">
      <c r="A14" s="53" t="str">
        <f t="shared" si="0"/>
        <v>BAVM 132 </v>
      </c>
      <c r="B14" s="6" t="str">
        <f t="shared" si="1"/>
        <v>I</v>
      </c>
      <c r="C14" s="53">
        <f t="shared" si="2"/>
        <v>49627.450199999999</v>
      </c>
      <c r="D14" s="14" t="str">
        <f t="shared" si="3"/>
        <v>vis</v>
      </c>
      <c r="E14" s="61">
        <f>VLOOKUP(C14,Active!C$21:E$973,3,FALSE)</f>
        <v>15759.108168779465</v>
      </c>
      <c r="F14" s="6" t="s">
        <v>70</v>
      </c>
      <c r="G14" s="14" t="str">
        <f t="shared" si="4"/>
        <v>49627.4502</v>
      </c>
      <c r="H14" s="53">
        <f t="shared" si="5"/>
        <v>15759</v>
      </c>
      <c r="I14" s="62" t="s">
        <v>154</v>
      </c>
      <c r="J14" s="63" t="s">
        <v>155</v>
      </c>
      <c r="K14" s="62">
        <v>15759</v>
      </c>
      <c r="L14" s="62" t="s">
        <v>156</v>
      </c>
      <c r="M14" s="63" t="s">
        <v>150</v>
      </c>
      <c r="N14" s="63" t="s">
        <v>151</v>
      </c>
      <c r="O14" s="64" t="s">
        <v>152</v>
      </c>
      <c r="P14" s="65" t="s">
        <v>153</v>
      </c>
    </row>
    <row r="15" spans="1:16" ht="12.75" customHeight="1" thickBot="1" x14ac:dyDescent="0.25">
      <c r="A15" s="53" t="str">
        <f t="shared" si="0"/>
        <v>BAVM 132 </v>
      </c>
      <c r="B15" s="6" t="str">
        <f t="shared" si="1"/>
        <v>I</v>
      </c>
      <c r="C15" s="53">
        <f t="shared" si="2"/>
        <v>49644.399100000002</v>
      </c>
      <c r="D15" s="14" t="str">
        <f t="shared" si="3"/>
        <v>vis</v>
      </c>
      <c r="E15" s="61">
        <f>VLOOKUP(C15,Active!C$21:E$973,3,FALSE)</f>
        <v>15772.106997658528</v>
      </c>
      <c r="F15" s="6" t="s">
        <v>70</v>
      </c>
      <c r="G15" s="14" t="str">
        <f t="shared" si="4"/>
        <v>49644.3991</v>
      </c>
      <c r="H15" s="53">
        <f t="shared" si="5"/>
        <v>15772</v>
      </c>
      <c r="I15" s="62" t="s">
        <v>157</v>
      </c>
      <c r="J15" s="63" t="s">
        <v>158</v>
      </c>
      <c r="K15" s="62">
        <v>15772</v>
      </c>
      <c r="L15" s="62" t="s">
        <v>159</v>
      </c>
      <c r="M15" s="63" t="s">
        <v>150</v>
      </c>
      <c r="N15" s="63" t="s">
        <v>151</v>
      </c>
      <c r="O15" s="64" t="s">
        <v>160</v>
      </c>
      <c r="P15" s="65" t="s">
        <v>153</v>
      </c>
    </row>
    <row r="16" spans="1:16" ht="12.75" customHeight="1" thickBot="1" x14ac:dyDescent="0.25">
      <c r="A16" s="53" t="str">
        <f t="shared" si="0"/>
        <v>BAVM 99 </v>
      </c>
      <c r="B16" s="6" t="str">
        <f t="shared" si="1"/>
        <v>I</v>
      </c>
      <c r="C16" s="53">
        <f t="shared" si="2"/>
        <v>50344.585200000001</v>
      </c>
      <c r="D16" s="14" t="str">
        <f t="shared" si="3"/>
        <v>vis</v>
      </c>
      <c r="E16" s="61">
        <f>VLOOKUP(C16,Active!C$21:E$973,3,FALSE)</f>
        <v>16309.109357540079</v>
      </c>
      <c r="F16" s="6" t="s">
        <v>70</v>
      </c>
      <c r="G16" s="14" t="str">
        <f t="shared" si="4"/>
        <v>50344.5852</v>
      </c>
      <c r="H16" s="53">
        <f t="shared" si="5"/>
        <v>16309</v>
      </c>
      <c r="I16" s="62" t="s">
        <v>161</v>
      </c>
      <c r="J16" s="63" t="s">
        <v>162</v>
      </c>
      <c r="K16" s="62">
        <v>16309</v>
      </c>
      <c r="L16" s="62" t="s">
        <v>163</v>
      </c>
      <c r="M16" s="63" t="s">
        <v>150</v>
      </c>
      <c r="N16" s="63" t="s">
        <v>151</v>
      </c>
      <c r="O16" s="64" t="s">
        <v>152</v>
      </c>
      <c r="P16" s="65" t="s">
        <v>164</v>
      </c>
    </row>
    <row r="17" spans="1:16" ht="12.75" customHeight="1" thickBot="1" x14ac:dyDescent="0.25">
      <c r="A17" s="53" t="str">
        <f t="shared" si="0"/>
        <v> BBS 116 </v>
      </c>
      <c r="B17" s="6" t="str">
        <f t="shared" si="1"/>
        <v>I</v>
      </c>
      <c r="C17" s="53">
        <f t="shared" si="2"/>
        <v>50636.595999999998</v>
      </c>
      <c r="D17" s="14" t="str">
        <f t="shared" si="3"/>
        <v>vis</v>
      </c>
      <c r="E17" s="61">
        <f>VLOOKUP(C17,Active!C$21:E$973,3,FALSE)</f>
        <v>16533.064801258399</v>
      </c>
      <c r="F17" s="6" t="s">
        <v>70</v>
      </c>
      <c r="G17" s="14" t="str">
        <f t="shared" si="4"/>
        <v>50636.596</v>
      </c>
      <c r="H17" s="53">
        <f t="shared" si="5"/>
        <v>16533</v>
      </c>
      <c r="I17" s="62" t="s">
        <v>165</v>
      </c>
      <c r="J17" s="63" t="s">
        <v>166</v>
      </c>
      <c r="K17" s="62">
        <v>16533</v>
      </c>
      <c r="L17" s="62" t="s">
        <v>167</v>
      </c>
      <c r="M17" s="63" t="s">
        <v>134</v>
      </c>
      <c r="N17" s="63"/>
      <c r="O17" s="64" t="s">
        <v>135</v>
      </c>
      <c r="P17" s="64" t="s">
        <v>168</v>
      </c>
    </row>
    <row r="18" spans="1:16" ht="12.75" customHeight="1" thickBot="1" x14ac:dyDescent="0.25">
      <c r="A18" s="53" t="str">
        <f t="shared" si="0"/>
        <v> BBS 116 </v>
      </c>
      <c r="B18" s="6" t="str">
        <f t="shared" si="1"/>
        <v>I</v>
      </c>
      <c r="C18" s="53">
        <f t="shared" si="2"/>
        <v>50717.474999999999</v>
      </c>
      <c r="D18" s="14" t="str">
        <f t="shared" si="3"/>
        <v>vis</v>
      </c>
      <c r="E18" s="61">
        <f>VLOOKUP(C18,Active!C$21:E$973,3,FALSE)</f>
        <v>16595.094330072039</v>
      </c>
      <c r="F18" s="6" t="s">
        <v>70</v>
      </c>
      <c r="G18" s="14" t="str">
        <f t="shared" si="4"/>
        <v>50717.475</v>
      </c>
      <c r="H18" s="53">
        <f t="shared" si="5"/>
        <v>16595</v>
      </c>
      <c r="I18" s="62" t="s">
        <v>169</v>
      </c>
      <c r="J18" s="63" t="s">
        <v>170</v>
      </c>
      <c r="K18" s="62">
        <v>16595</v>
      </c>
      <c r="L18" s="62" t="s">
        <v>171</v>
      </c>
      <c r="M18" s="63" t="s">
        <v>134</v>
      </c>
      <c r="N18" s="63"/>
      <c r="O18" s="64" t="s">
        <v>135</v>
      </c>
      <c r="P18" s="64" t="s">
        <v>168</v>
      </c>
    </row>
    <row r="19" spans="1:16" ht="12.75" customHeight="1" thickBot="1" x14ac:dyDescent="0.25">
      <c r="A19" s="53" t="str">
        <f t="shared" si="0"/>
        <v>BAVM 152 </v>
      </c>
      <c r="B19" s="6" t="str">
        <f t="shared" si="1"/>
        <v>II</v>
      </c>
      <c r="C19" s="53">
        <f t="shared" si="2"/>
        <v>51766.4568</v>
      </c>
      <c r="D19" s="14" t="str">
        <f t="shared" si="3"/>
        <v>vis</v>
      </c>
      <c r="E19" s="61">
        <f>VLOOKUP(C19,Active!C$21:E$973,3,FALSE)</f>
        <v>17399.602877260852</v>
      </c>
      <c r="F19" s="6" t="s">
        <v>70</v>
      </c>
      <c r="G19" s="14" t="str">
        <f t="shared" si="4"/>
        <v>51766.4568</v>
      </c>
      <c r="H19" s="53">
        <f t="shared" si="5"/>
        <v>17399.5</v>
      </c>
      <c r="I19" s="62" t="s">
        <v>172</v>
      </c>
      <c r="J19" s="63" t="s">
        <v>173</v>
      </c>
      <c r="K19" s="62">
        <v>17399.5</v>
      </c>
      <c r="L19" s="62" t="s">
        <v>174</v>
      </c>
      <c r="M19" s="63" t="s">
        <v>150</v>
      </c>
      <c r="N19" s="63" t="s">
        <v>151</v>
      </c>
      <c r="O19" s="64" t="s">
        <v>152</v>
      </c>
      <c r="P19" s="65" t="s">
        <v>175</v>
      </c>
    </row>
    <row r="20" spans="1:16" ht="12.75" customHeight="1" thickBot="1" x14ac:dyDescent="0.25">
      <c r="A20" s="53" t="str">
        <f t="shared" si="0"/>
        <v>BAVM 152 </v>
      </c>
      <c r="B20" s="6" t="str">
        <f t="shared" si="1"/>
        <v>II</v>
      </c>
      <c r="C20" s="53">
        <f t="shared" si="2"/>
        <v>52122.414400000001</v>
      </c>
      <c r="D20" s="14" t="str">
        <f t="shared" si="3"/>
        <v>vis</v>
      </c>
      <c r="E20" s="61">
        <f>VLOOKUP(C20,Active!C$21:E$973,3,FALSE)</f>
        <v>17672.601828850686</v>
      </c>
      <c r="F20" s="6" t="s">
        <v>70</v>
      </c>
      <c r="G20" s="14" t="str">
        <f t="shared" si="4"/>
        <v>52122.4144</v>
      </c>
      <c r="H20" s="53">
        <f t="shared" si="5"/>
        <v>17672.5</v>
      </c>
      <c r="I20" s="62" t="s">
        <v>176</v>
      </c>
      <c r="J20" s="63" t="s">
        <v>177</v>
      </c>
      <c r="K20" s="62">
        <v>17672.5</v>
      </c>
      <c r="L20" s="62" t="s">
        <v>178</v>
      </c>
      <c r="M20" s="63" t="s">
        <v>150</v>
      </c>
      <c r="N20" s="63" t="s">
        <v>151</v>
      </c>
      <c r="O20" s="64" t="s">
        <v>152</v>
      </c>
      <c r="P20" s="65" t="s">
        <v>175</v>
      </c>
    </row>
    <row r="21" spans="1:16" ht="12.75" customHeight="1" thickBot="1" x14ac:dyDescent="0.25">
      <c r="A21" s="53" t="str">
        <f t="shared" si="0"/>
        <v>OEJV 0074 </v>
      </c>
      <c r="B21" s="6" t="str">
        <f t="shared" si="1"/>
        <v>I</v>
      </c>
      <c r="C21" s="53">
        <f t="shared" si="2"/>
        <v>52146.535129999997</v>
      </c>
      <c r="D21" s="14" t="str">
        <f t="shared" si="3"/>
        <v>vis</v>
      </c>
      <c r="E21" s="61">
        <f>VLOOKUP(C21,Active!C$21:E$973,3,FALSE)</f>
        <v>17691.101037749668</v>
      </c>
      <c r="F21" s="6" t="s">
        <v>70</v>
      </c>
      <c r="G21" s="14" t="str">
        <f t="shared" si="4"/>
        <v>52146.53513</v>
      </c>
      <c r="H21" s="53">
        <f t="shared" si="5"/>
        <v>17691</v>
      </c>
      <c r="I21" s="62" t="s">
        <v>184</v>
      </c>
      <c r="J21" s="63" t="s">
        <v>185</v>
      </c>
      <c r="K21" s="62">
        <v>17691</v>
      </c>
      <c r="L21" s="62" t="s">
        <v>186</v>
      </c>
      <c r="M21" s="63" t="s">
        <v>187</v>
      </c>
      <c r="N21" s="63" t="s">
        <v>151</v>
      </c>
      <c r="O21" s="64" t="s">
        <v>188</v>
      </c>
      <c r="P21" s="65" t="s">
        <v>189</v>
      </c>
    </row>
    <row r="22" spans="1:16" ht="12.75" customHeight="1" thickBot="1" x14ac:dyDescent="0.25">
      <c r="A22" s="53" t="str">
        <f t="shared" si="0"/>
        <v>BAVM 183 </v>
      </c>
      <c r="B22" s="6" t="str">
        <f t="shared" si="1"/>
        <v>I</v>
      </c>
      <c r="C22" s="53">
        <f t="shared" si="2"/>
        <v>52180.435100000002</v>
      </c>
      <c r="D22" s="14" t="str">
        <f t="shared" si="3"/>
        <v>vis</v>
      </c>
      <c r="E22" s="61">
        <f>VLOOKUP(C22,Active!C$21:E$973,3,FALSE)</f>
        <v>17717.100359772649</v>
      </c>
      <c r="F22" s="6" t="s">
        <v>70</v>
      </c>
      <c r="G22" s="14" t="str">
        <f t="shared" si="4"/>
        <v>52180.4351</v>
      </c>
      <c r="H22" s="53">
        <f t="shared" si="5"/>
        <v>17717</v>
      </c>
      <c r="I22" s="62" t="s">
        <v>190</v>
      </c>
      <c r="J22" s="63" t="s">
        <v>191</v>
      </c>
      <c r="K22" s="62">
        <v>17717</v>
      </c>
      <c r="L22" s="62" t="s">
        <v>192</v>
      </c>
      <c r="M22" s="63" t="s">
        <v>187</v>
      </c>
      <c r="N22" s="63" t="s">
        <v>151</v>
      </c>
      <c r="O22" s="64" t="s">
        <v>152</v>
      </c>
      <c r="P22" s="65" t="s">
        <v>193</v>
      </c>
    </row>
    <row r="23" spans="1:16" ht="12.75" customHeight="1" thickBot="1" x14ac:dyDescent="0.25">
      <c r="A23" s="53" t="str">
        <f t="shared" si="0"/>
        <v>IBVS 5653 </v>
      </c>
      <c r="B23" s="6" t="str">
        <f t="shared" si="1"/>
        <v>I</v>
      </c>
      <c r="C23" s="53">
        <f t="shared" si="2"/>
        <v>53283.507599999997</v>
      </c>
      <c r="D23" s="14" t="str">
        <f t="shared" si="3"/>
        <v>vis</v>
      </c>
      <c r="E23" s="61">
        <f>VLOOKUP(C23,Active!C$21:E$973,3,FALSE)</f>
        <v>18563.093354521392</v>
      </c>
      <c r="F23" s="6" t="s">
        <v>70</v>
      </c>
      <c r="G23" s="14" t="str">
        <f t="shared" si="4"/>
        <v>53283.5076</v>
      </c>
      <c r="H23" s="53">
        <f t="shared" si="5"/>
        <v>18563</v>
      </c>
      <c r="I23" s="62" t="s">
        <v>194</v>
      </c>
      <c r="J23" s="63" t="s">
        <v>195</v>
      </c>
      <c r="K23" s="62">
        <v>18563</v>
      </c>
      <c r="L23" s="62" t="s">
        <v>196</v>
      </c>
      <c r="M23" s="63" t="s">
        <v>150</v>
      </c>
      <c r="N23" s="63" t="s">
        <v>197</v>
      </c>
      <c r="O23" s="64" t="s">
        <v>198</v>
      </c>
      <c r="P23" s="65" t="s">
        <v>199</v>
      </c>
    </row>
    <row r="24" spans="1:16" ht="12.75" customHeight="1" thickBot="1" x14ac:dyDescent="0.25">
      <c r="A24" s="53" t="str">
        <f t="shared" si="0"/>
        <v>BAVM 173 </v>
      </c>
      <c r="B24" s="6" t="str">
        <f t="shared" si="1"/>
        <v>II</v>
      </c>
      <c r="C24" s="53">
        <f t="shared" si="2"/>
        <v>53349.356099999997</v>
      </c>
      <c r="D24" s="14" t="str">
        <f t="shared" si="3"/>
        <v>vis</v>
      </c>
      <c r="E24" s="61">
        <f>VLOOKUP(C24,Active!C$21:E$973,3,FALSE)</f>
        <v>18613.595356624348</v>
      </c>
      <c r="F24" s="6" t="s">
        <v>70</v>
      </c>
      <c r="G24" s="14" t="str">
        <f t="shared" si="4"/>
        <v>53349.3561</v>
      </c>
      <c r="H24" s="53">
        <f t="shared" si="5"/>
        <v>18613.5</v>
      </c>
      <c r="I24" s="62" t="s">
        <v>200</v>
      </c>
      <c r="J24" s="63" t="s">
        <v>201</v>
      </c>
      <c r="K24" s="62">
        <v>18613.5</v>
      </c>
      <c r="L24" s="62" t="s">
        <v>202</v>
      </c>
      <c r="M24" s="63" t="s">
        <v>150</v>
      </c>
      <c r="N24" s="63" t="s">
        <v>203</v>
      </c>
      <c r="O24" s="64" t="s">
        <v>152</v>
      </c>
      <c r="P24" s="65" t="s">
        <v>204</v>
      </c>
    </row>
    <row r="25" spans="1:16" ht="12.75" customHeight="1" thickBot="1" x14ac:dyDescent="0.25">
      <c r="A25" s="53" t="str">
        <f t="shared" si="0"/>
        <v>BAVM 178 </v>
      </c>
      <c r="B25" s="6" t="str">
        <f t="shared" si="1"/>
        <v>I</v>
      </c>
      <c r="C25" s="53">
        <f t="shared" si="2"/>
        <v>53656.414700000001</v>
      </c>
      <c r="D25" s="14" t="str">
        <f t="shared" si="3"/>
        <v>vis</v>
      </c>
      <c r="E25" s="61">
        <f>VLOOKUP(C25,Active!C$21:E$973,3,FALSE)</f>
        <v>18849.091595155685</v>
      </c>
      <c r="F25" s="6" t="s">
        <v>70</v>
      </c>
      <c r="G25" s="14" t="str">
        <f t="shared" si="4"/>
        <v>53656.4147</v>
      </c>
      <c r="H25" s="53">
        <f t="shared" si="5"/>
        <v>18849</v>
      </c>
      <c r="I25" s="62" t="s">
        <v>205</v>
      </c>
      <c r="J25" s="63" t="s">
        <v>206</v>
      </c>
      <c r="K25" s="62" t="s">
        <v>207</v>
      </c>
      <c r="L25" s="62" t="s">
        <v>208</v>
      </c>
      <c r="M25" s="63" t="s">
        <v>187</v>
      </c>
      <c r="N25" s="63" t="s">
        <v>203</v>
      </c>
      <c r="O25" s="64" t="s">
        <v>152</v>
      </c>
      <c r="P25" s="65" t="s">
        <v>209</v>
      </c>
    </row>
    <row r="26" spans="1:16" ht="12.75" customHeight="1" thickBot="1" x14ac:dyDescent="0.25">
      <c r="A26" s="53" t="str">
        <f t="shared" si="0"/>
        <v>BAVM 183 </v>
      </c>
      <c r="B26" s="6" t="str">
        <f t="shared" si="1"/>
        <v>I</v>
      </c>
      <c r="C26" s="53">
        <f t="shared" si="2"/>
        <v>54017.590600000003</v>
      </c>
      <c r="D26" s="14" t="str">
        <f t="shared" si="3"/>
        <v>vis</v>
      </c>
      <c r="E26" s="61">
        <f>VLOOKUP(C26,Active!C$21:E$973,3,FALSE)</f>
        <v>19126.092681912971</v>
      </c>
      <c r="F26" s="6" t="s">
        <v>70</v>
      </c>
      <c r="G26" s="14" t="str">
        <f t="shared" si="4"/>
        <v>54017.5906</v>
      </c>
      <c r="H26" s="53">
        <f t="shared" si="5"/>
        <v>19126</v>
      </c>
      <c r="I26" s="62" t="s">
        <v>210</v>
      </c>
      <c r="J26" s="63" t="s">
        <v>211</v>
      </c>
      <c r="K26" s="62" t="s">
        <v>212</v>
      </c>
      <c r="L26" s="62" t="s">
        <v>213</v>
      </c>
      <c r="M26" s="63" t="s">
        <v>187</v>
      </c>
      <c r="N26" s="63" t="s">
        <v>203</v>
      </c>
      <c r="O26" s="64" t="s">
        <v>152</v>
      </c>
      <c r="P26" s="65" t="s">
        <v>193</v>
      </c>
    </row>
    <row r="27" spans="1:16" ht="12.75" customHeight="1" thickBot="1" x14ac:dyDescent="0.25">
      <c r="A27" s="53" t="str">
        <f t="shared" si="0"/>
        <v>BAVM 215 </v>
      </c>
      <c r="B27" s="6" t="str">
        <f t="shared" si="1"/>
        <v>II</v>
      </c>
      <c r="C27" s="53">
        <f t="shared" si="2"/>
        <v>55409.495499999997</v>
      </c>
      <c r="D27" s="14" t="str">
        <f t="shared" si="3"/>
        <v>vis</v>
      </c>
      <c r="E27" s="61">
        <f>VLOOKUP(C27,Active!C$21:E$973,3,FALSE)</f>
        <v>20193.603470874212</v>
      </c>
      <c r="F27" s="6" t="s">
        <v>70</v>
      </c>
      <c r="G27" s="14" t="str">
        <f t="shared" si="4"/>
        <v>55409.4955</v>
      </c>
      <c r="H27" s="53">
        <f t="shared" si="5"/>
        <v>20193.5</v>
      </c>
      <c r="I27" s="62" t="s">
        <v>231</v>
      </c>
      <c r="J27" s="63" t="s">
        <v>232</v>
      </c>
      <c r="K27" s="62" t="s">
        <v>233</v>
      </c>
      <c r="L27" s="62" t="s">
        <v>234</v>
      </c>
      <c r="M27" s="63" t="s">
        <v>187</v>
      </c>
      <c r="N27" s="63" t="s">
        <v>203</v>
      </c>
      <c r="O27" s="64" t="s">
        <v>152</v>
      </c>
      <c r="P27" s="65" t="s">
        <v>235</v>
      </c>
    </row>
    <row r="28" spans="1:16" ht="12.75" customHeight="1" thickBot="1" x14ac:dyDescent="0.25">
      <c r="A28" s="53" t="str">
        <f t="shared" si="0"/>
        <v>BAVM 220 </v>
      </c>
      <c r="B28" s="6" t="str">
        <f t="shared" si="1"/>
        <v>II</v>
      </c>
      <c r="C28" s="53">
        <f t="shared" si="2"/>
        <v>55495.553200000002</v>
      </c>
      <c r="D28" s="14" t="str">
        <f t="shared" si="3"/>
        <v>vis</v>
      </c>
      <c r="E28" s="61">
        <f>VLOOKUP(C28,Active!C$21:E$973,3,FALSE)</f>
        <v>20259.604763938987</v>
      </c>
      <c r="F28" s="6" t="s">
        <v>70</v>
      </c>
      <c r="G28" s="14" t="str">
        <f t="shared" si="4"/>
        <v>55495.5532</v>
      </c>
      <c r="H28" s="53">
        <f t="shared" si="5"/>
        <v>20259.5</v>
      </c>
      <c r="I28" s="62" t="s">
        <v>236</v>
      </c>
      <c r="J28" s="63" t="s">
        <v>237</v>
      </c>
      <c r="K28" s="62" t="s">
        <v>238</v>
      </c>
      <c r="L28" s="62" t="s">
        <v>239</v>
      </c>
      <c r="M28" s="63" t="s">
        <v>187</v>
      </c>
      <c r="N28" s="63" t="s">
        <v>203</v>
      </c>
      <c r="O28" s="64" t="s">
        <v>240</v>
      </c>
      <c r="P28" s="65" t="s">
        <v>241</v>
      </c>
    </row>
    <row r="29" spans="1:16" ht="12.75" customHeight="1" thickBot="1" x14ac:dyDescent="0.25">
      <c r="A29" s="53" t="str">
        <f t="shared" si="0"/>
        <v>IBVS 5960 </v>
      </c>
      <c r="B29" s="6" t="str">
        <f t="shared" si="1"/>
        <v>I</v>
      </c>
      <c r="C29" s="53">
        <f t="shared" si="2"/>
        <v>55502.7235</v>
      </c>
      <c r="D29" s="14" t="str">
        <f t="shared" si="3"/>
        <v>vis</v>
      </c>
      <c r="E29" s="61">
        <f>VLOOKUP(C29,Active!C$21:E$973,3,FALSE)</f>
        <v>20265.103970537144</v>
      </c>
      <c r="F29" s="6" t="s">
        <v>70</v>
      </c>
      <c r="G29" s="14" t="str">
        <f t="shared" si="4"/>
        <v>55502.7235</v>
      </c>
      <c r="H29" s="53">
        <f t="shared" si="5"/>
        <v>20265</v>
      </c>
      <c r="I29" s="62" t="s">
        <v>242</v>
      </c>
      <c r="J29" s="63" t="s">
        <v>243</v>
      </c>
      <c r="K29" s="62" t="s">
        <v>244</v>
      </c>
      <c r="L29" s="62" t="s">
        <v>245</v>
      </c>
      <c r="M29" s="63" t="s">
        <v>187</v>
      </c>
      <c r="N29" s="63" t="s">
        <v>70</v>
      </c>
      <c r="O29" s="64" t="s">
        <v>198</v>
      </c>
      <c r="P29" s="65" t="s">
        <v>246</v>
      </c>
    </row>
    <row r="30" spans="1:16" ht="12.75" customHeight="1" thickBot="1" x14ac:dyDescent="0.25">
      <c r="A30" s="53" t="str">
        <f t="shared" si="0"/>
        <v>BAVM 234 </v>
      </c>
      <c r="B30" s="6" t="str">
        <f t="shared" si="1"/>
        <v>I</v>
      </c>
      <c r="C30" s="53">
        <f t="shared" si="2"/>
        <v>56132.512000000002</v>
      </c>
      <c r="D30" s="14" t="str">
        <f t="shared" si="3"/>
        <v>vis</v>
      </c>
      <c r="E30" s="61">
        <f>VLOOKUP(C30,Active!C$21:E$973,3,FALSE)</f>
        <v>20748.115430956401</v>
      </c>
      <c r="F30" s="6" t="s">
        <v>70</v>
      </c>
      <c r="G30" s="14" t="str">
        <f t="shared" si="4"/>
        <v>56132.512</v>
      </c>
      <c r="H30" s="53">
        <f t="shared" si="5"/>
        <v>20748</v>
      </c>
      <c r="I30" s="62" t="s">
        <v>264</v>
      </c>
      <c r="J30" s="63" t="s">
        <v>265</v>
      </c>
      <c r="K30" s="62" t="s">
        <v>266</v>
      </c>
      <c r="L30" s="62" t="s">
        <v>267</v>
      </c>
      <c r="M30" s="63" t="s">
        <v>187</v>
      </c>
      <c r="N30" s="63" t="s">
        <v>151</v>
      </c>
      <c r="O30" s="64" t="s">
        <v>261</v>
      </c>
      <c r="P30" s="65" t="s">
        <v>268</v>
      </c>
    </row>
    <row r="31" spans="1:16" ht="12.75" customHeight="1" thickBot="1" x14ac:dyDescent="0.25">
      <c r="A31" s="53" t="str">
        <f t="shared" si="0"/>
        <v> VSS 4.170 </v>
      </c>
      <c r="B31" s="6" t="str">
        <f t="shared" si="1"/>
        <v>I</v>
      </c>
      <c r="C31" s="53">
        <f t="shared" si="2"/>
        <v>27955.506000000001</v>
      </c>
      <c r="D31" s="14" t="str">
        <f t="shared" si="3"/>
        <v>vis</v>
      </c>
      <c r="E31" s="61">
        <f>VLOOKUP(C31,Active!C$21:E$973,3,FALSE)</f>
        <v>-862.02323988652188</v>
      </c>
      <c r="F31" s="6" t="s">
        <v>70</v>
      </c>
      <c r="G31" s="14" t="str">
        <f t="shared" si="4"/>
        <v>27955.506</v>
      </c>
      <c r="H31" s="53">
        <f t="shared" si="5"/>
        <v>-862</v>
      </c>
      <c r="I31" s="62" t="s">
        <v>73</v>
      </c>
      <c r="J31" s="63" t="s">
        <v>74</v>
      </c>
      <c r="K31" s="62">
        <v>-862</v>
      </c>
      <c r="L31" s="62" t="s">
        <v>75</v>
      </c>
      <c r="M31" s="63" t="s">
        <v>76</v>
      </c>
      <c r="N31" s="63"/>
      <c r="O31" s="64" t="s">
        <v>77</v>
      </c>
      <c r="P31" s="64" t="s">
        <v>78</v>
      </c>
    </row>
    <row r="32" spans="1:16" ht="12.75" customHeight="1" thickBot="1" x14ac:dyDescent="0.25">
      <c r="A32" s="53" t="str">
        <f t="shared" si="0"/>
        <v> VSS 4.170 </v>
      </c>
      <c r="B32" s="6" t="str">
        <f t="shared" si="1"/>
        <v>I</v>
      </c>
      <c r="C32" s="53">
        <f t="shared" si="2"/>
        <v>29079.463</v>
      </c>
      <c r="D32" s="14" t="str">
        <f t="shared" si="3"/>
        <v>vis</v>
      </c>
      <c r="E32" s="61">
        <f>VLOOKUP(C32,Active!C$21:E$973,3,FALSE)</f>
        <v>-1.3038019632055871E-2</v>
      </c>
      <c r="F32" s="6" t="s">
        <v>70</v>
      </c>
      <c r="G32" s="14" t="str">
        <f t="shared" si="4"/>
        <v>29079.463</v>
      </c>
      <c r="H32" s="53">
        <f t="shared" si="5"/>
        <v>0</v>
      </c>
      <c r="I32" s="62" t="s">
        <v>79</v>
      </c>
      <c r="J32" s="63" t="s">
        <v>80</v>
      </c>
      <c r="K32" s="62">
        <v>0</v>
      </c>
      <c r="L32" s="62" t="s">
        <v>81</v>
      </c>
      <c r="M32" s="63" t="s">
        <v>76</v>
      </c>
      <c r="N32" s="63"/>
      <c r="O32" s="64" t="s">
        <v>77</v>
      </c>
      <c r="P32" s="64" t="s">
        <v>78</v>
      </c>
    </row>
    <row r="33" spans="1:16" ht="12.75" customHeight="1" thickBot="1" x14ac:dyDescent="0.25">
      <c r="A33" s="53" t="str">
        <f t="shared" si="0"/>
        <v> VSS 4.170 </v>
      </c>
      <c r="B33" s="6" t="str">
        <f t="shared" si="1"/>
        <v>I</v>
      </c>
      <c r="C33" s="53">
        <f t="shared" si="2"/>
        <v>29109.493999999999</v>
      </c>
      <c r="D33" s="14" t="str">
        <f t="shared" si="3"/>
        <v>vis</v>
      </c>
      <c r="E33" s="61">
        <f>VLOOKUP(C33,Active!C$21:E$973,3,FALSE)</f>
        <v>23.019007131796137</v>
      </c>
      <c r="F33" s="6" t="s">
        <v>70</v>
      </c>
      <c r="G33" s="14" t="str">
        <f t="shared" si="4"/>
        <v>29109.494</v>
      </c>
      <c r="H33" s="53">
        <f t="shared" si="5"/>
        <v>23</v>
      </c>
      <c r="I33" s="62" t="s">
        <v>82</v>
      </c>
      <c r="J33" s="63" t="s">
        <v>83</v>
      </c>
      <c r="K33" s="62">
        <v>23</v>
      </c>
      <c r="L33" s="62" t="s">
        <v>84</v>
      </c>
      <c r="M33" s="63" t="s">
        <v>76</v>
      </c>
      <c r="N33" s="63"/>
      <c r="O33" s="64" t="s">
        <v>77</v>
      </c>
      <c r="P33" s="64" t="s">
        <v>78</v>
      </c>
    </row>
    <row r="34" spans="1:16" ht="12.75" customHeight="1" thickBot="1" x14ac:dyDescent="0.25">
      <c r="A34" s="53" t="str">
        <f t="shared" si="0"/>
        <v> VSS 4.170 </v>
      </c>
      <c r="B34" s="6" t="str">
        <f t="shared" si="1"/>
        <v>I</v>
      </c>
      <c r="C34" s="53">
        <f t="shared" si="2"/>
        <v>29130.412</v>
      </c>
      <c r="D34" s="14" t="str">
        <f t="shared" si="3"/>
        <v>vis</v>
      </c>
      <c r="E34" s="61">
        <f>VLOOKUP(C34,Active!C$21:E$973,3,FALSE)</f>
        <v>39.061906818041166</v>
      </c>
      <c r="F34" s="6" t="s">
        <v>70</v>
      </c>
      <c r="G34" s="14" t="str">
        <f t="shared" si="4"/>
        <v>29130.412</v>
      </c>
      <c r="H34" s="53">
        <f t="shared" si="5"/>
        <v>39</v>
      </c>
      <c r="I34" s="62" t="s">
        <v>85</v>
      </c>
      <c r="J34" s="63" t="s">
        <v>86</v>
      </c>
      <c r="K34" s="62">
        <v>39</v>
      </c>
      <c r="L34" s="62" t="s">
        <v>87</v>
      </c>
      <c r="M34" s="63" t="s">
        <v>76</v>
      </c>
      <c r="N34" s="63"/>
      <c r="O34" s="64" t="s">
        <v>77</v>
      </c>
      <c r="P34" s="64" t="s">
        <v>78</v>
      </c>
    </row>
    <row r="35" spans="1:16" ht="12.75" customHeight="1" thickBot="1" x14ac:dyDescent="0.25">
      <c r="A35" s="53" t="str">
        <f t="shared" si="0"/>
        <v> VSS 4.170 </v>
      </c>
      <c r="B35" s="6" t="str">
        <f t="shared" si="1"/>
        <v>I</v>
      </c>
      <c r="C35" s="53">
        <f t="shared" si="2"/>
        <v>29160.352999999999</v>
      </c>
      <c r="D35" s="14" t="str">
        <f t="shared" si="3"/>
        <v>vis</v>
      </c>
      <c r="E35" s="61">
        <f>VLOOKUP(C35,Active!C$21:E$973,3,FALSE)</f>
        <v>62.024927159651774</v>
      </c>
      <c r="F35" s="6" t="s">
        <v>70</v>
      </c>
      <c r="G35" s="14" t="str">
        <f t="shared" si="4"/>
        <v>29160.353</v>
      </c>
      <c r="H35" s="53">
        <f t="shared" si="5"/>
        <v>62</v>
      </c>
      <c r="I35" s="62" t="s">
        <v>88</v>
      </c>
      <c r="J35" s="63" t="s">
        <v>89</v>
      </c>
      <c r="K35" s="62">
        <v>62</v>
      </c>
      <c r="L35" s="62" t="s">
        <v>90</v>
      </c>
      <c r="M35" s="63" t="s">
        <v>76</v>
      </c>
      <c r="N35" s="63"/>
      <c r="O35" s="64" t="s">
        <v>77</v>
      </c>
      <c r="P35" s="64" t="s">
        <v>78</v>
      </c>
    </row>
    <row r="36" spans="1:16" ht="12.75" customHeight="1" thickBot="1" x14ac:dyDescent="0.25">
      <c r="A36" s="53" t="str">
        <f t="shared" si="0"/>
        <v> VSS 4.170 </v>
      </c>
      <c r="B36" s="6" t="str">
        <f t="shared" si="1"/>
        <v>I</v>
      </c>
      <c r="C36" s="53">
        <f t="shared" si="2"/>
        <v>30173.494999999999</v>
      </c>
      <c r="D36" s="14" t="str">
        <f t="shared" si="3"/>
        <v>vis</v>
      </c>
      <c r="E36" s="61">
        <f>VLOOKUP(C36,Active!C$21:E$973,3,FALSE)</f>
        <v>839.04641458294782</v>
      </c>
      <c r="F36" s="6" t="s">
        <v>70</v>
      </c>
      <c r="G36" s="14" t="str">
        <f t="shared" si="4"/>
        <v>30173.495</v>
      </c>
      <c r="H36" s="53">
        <f t="shared" si="5"/>
        <v>839</v>
      </c>
      <c r="I36" s="62" t="s">
        <v>91</v>
      </c>
      <c r="J36" s="63" t="s">
        <v>92</v>
      </c>
      <c r="K36" s="62">
        <v>839</v>
      </c>
      <c r="L36" s="62" t="s">
        <v>93</v>
      </c>
      <c r="M36" s="63" t="s">
        <v>76</v>
      </c>
      <c r="N36" s="63"/>
      <c r="O36" s="64" t="s">
        <v>77</v>
      </c>
      <c r="P36" s="64" t="s">
        <v>78</v>
      </c>
    </row>
    <row r="37" spans="1:16" ht="12.75" customHeight="1" thickBot="1" x14ac:dyDescent="0.25">
      <c r="A37" s="53" t="str">
        <f t="shared" si="0"/>
        <v> VSS 4.170 </v>
      </c>
      <c r="B37" s="6" t="str">
        <f t="shared" si="1"/>
        <v>I</v>
      </c>
      <c r="C37" s="53">
        <f t="shared" si="2"/>
        <v>30259.51</v>
      </c>
      <c r="D37" s="14" t="str">
        <f t="shared" si="3"/>
        <v>vis</v>
      </c>
      <c r="E37" s="61">
        <f>VLOOKUP(C37,Active!C$21:E$973,3,FALSE)</f>
        <v>905.01495921017124</v>
      </c>
      <c r="F37" s="6" t="s">
        <v>70</v>
      </c>
      <c r="G37" s="14" t="str">
        <f t="shared" si="4"/>
        <v>30259.510</v>
      </c>
      <c r="H37" s="53">
        <f t="shared" si="5"/>
        <v>905</v>
      </c>
      <c r="I37" s="62" t="s">
        <v>94</v>
      </c>
      <c r="J37" s="63" t="s">
        <v>95</v>
      </c>
      <c r="K37" s="62">
        <v>905</v>
      </c>
      <c r="L37" s="62" t="s">
        <v>96</v>
      </c>
      <c r="M37" s="63" t="s">
        <v>76</v>
      </c>
      <c r="N37" s="63"/>
      <c r="O37" s="64" t="s">
        <v>77</v>
      </c>
      <c r="P37" s="64" t="s">
        <v>78</v>
      </c>
    </row>
    <row r="38" spans="1:16" ht="12.75" customHeight="1" thickBot="1" x14ac:dyDescent="0.25">
      <c r="A38" s="53" t="str">
        <f t="shared" si="0"/>
        <v> VSS 4.170 </v>
      </c>
      <c r="B38" s="6" t="str">
        <f t="shared" si="1"/>
        <v>I</v>
      </c>
      <c r="C38" s="53">
        <f t="shared" si="2"/>
        <v>30576.409</v>
      </c>
      <c r="D38" s="14" t="str">
        <f t="shared" si="3"/>
        <v>vis</v>
      </c>
      <c r="E38" s="61">
        <f>VLOOKUP(C38,Active!C$21:E$973,3,FALSE)</f>
        <v>1148.0582170584848</v>
      </c>
      <c r="F38" s="6" t="s">
        <v>70</v>
      </c>
      <c r="G38" s="14" t="str">
        <f t="shared" si="4"/>
        <v>30576.409</v>
      </c>
      <c r="H38" s="53">
        <f t="shared" si="5"/>
        <v>1148</v>
      </c>
      <c r="I38" s="62" t="s">
        <v>97</v>
      </c>
      <c r="J38" s="63" t="s">
        <v>98</v>
      </c>
      <c r="K38" s="62">
        <v>1148</v>
      </c>
      <c r="L38" s="62" t="s">
        <v>99</v>
      </c>
      <c r="M38" s="63" t="s">
        <v>76</v>
      </c>
      <c r="N38" s="63"/>
      <c r="O38" s="64" t="s">
        <v>77</v>
      </c>
      <c r="P38" s="64" t="s">
        <v>78</v>
      </c>
    </row>
    <row r="39" spans="1:16" ht="12.75" customHeight="1" thickBot="1" x14ac:dyDescent="0.25">
      <c r="A39" s="53" t="str">
        <f t="shared" si="0"/>
        <v> VSS 4.170 </v>
      </c>
      <c r="B39" s="6" t="str">
        <f t="shared" si="1"/>
        <v>I</v>
      </c>
      <c r="C39" s="53">
        <f t="shared" si="2"/>
        <v>31001.438999999998</v>
      </c>
      <c r="D39" s="14" t="str">
        <f t="shared" si="3"/>
        <v>vis</v>
      </c>
      <c r="E39" s="61">
        <f>VLOOKUP(C39,Active!C$21:E$973,3,FALSE)</f>
        <v>1474.0317161331679</v>
      </c>
      <c r="F39" s="6" t="s">
        <v>70</v>
      </c>
      <c r="G39" s="14" t="str">
        <f t="shared" si="4"/>
        <v>31001.439</v>
      </c>
      <c r="H39" s="53">
        <f t="shared" si="5"/>
        <v>1474</v>
      </c>
      <c r="I39" s="62" t="s">
        <v>100</v>
      </c>
      <c r="J39" s="63" t="s">
        <v>101</v>
      </c>
      <c r="K39" s="62">
        <v>1474</v>
      </c>
      <c r="L39" s="62" t="s">
        <v>102</v>
      </c>
      <c r="M39" s="63" t="s">
        <v>76</v>
      </c>
      <c r="N39" s="63"/>
      <c r="O39" s="64" t="s">
        <v>77</v>
      </c>
      <c r="P39" s="64" t="s">
        <v>78</v>
      </c>
    </row>
    <row r="40" spans="1:16" ht="12.75" customHeight="1" thickBot="1" x14ac:dyDescent="0.25">
      <c r="A40" s="53" t="str">
        <f t="shared" si="0"/>
        <v> VSS 4.170 </v>
      </c>
      <c r="B40" s="6" t="str">
        <f t="shared" si="1"/>
        <v>I</v>
      </c>
      <c r="C40" s="53">
        <f t="shared" si="2"/>
        <v>31267.463</v>
      </c>
      <c r="D40" s="14" t="str">
        <f t="shared" si="3"/>
        <v>vis</v>
      </c>
      <c r="E40" s="61">
        <f>VLOOKUP(C40,Active!C$21:E$973,3,FALSE)</f>
        <v>1678.0567828763253</v>
      </c>
      <c r="F40" s="6" t="s">
        <v>70</v>
      </c>
      <c r="G40" s="14" t="str">
        <f t="shared" si="4"/>
        <v>31267.463</v>
      </c>
      <c r="H40" s="53">
        <f t="shared" si="5"/>
        <v>1678</v>
      </c>
      <c r="I40" s="62" t="s">
        <v>103</v>
      </c>
      <c r="J40" s="63" t="s">
        <v>104</v>
      </c>
      <c r="K40" s="62">
        <v>1678</v>
      </c>
      <c r="L40" s="62" t="s">
        <v>105</v>
      </c>
      <c r="M40" s="63" t="s">
        <v>76</v>
      </c>
      <c r="N40" s="63"/>
      <c r="O40" s="64" t="s">
        <v>77</v>
      </c>
      <c r="P40" s="64" t="s">
        <v>78</v>
      </c>
    </row>
    <row r="41" spans="1:16" ht="12.75" customHeight="1" thickBot="1" x14ac:dyDescent="0.25">
      <c r="A41" s="53" t="str">
        <f t="shared" si="0"/>
        <v> VSS 4.170 </v>
      </c>
      <c r="B41" s="6" t="str">
        <f t="shared" si="1"/>
        <v>I</v>
      </c>
      <c r="C41" s="53">
        <f t="shared" si="2"/>
        <v>31344.387999999999</v>
      </c>
      <c r="D41" s="14" t="str">
        <f t="shared" si="3"/>
        <v>vis</v>
      </c>
      <c r="E41" s="61">
        <f>VLOOKUP(C41,Active!C$21:E$973,3,FALSE)</f>
        <v>1737.0538217119836</v>
      </c>
      <c r="F41" s="6" t="s">
        <v>70</v>
      </c>
      <c r="G41" s="14" t="str">
        <f t="shared" si="4"/>
        <v>31344.388</v>
      </c>
      <c r="H41" s="53">
        <f t="shared" si="5"/>
        <v>1737</v>
      </c>
      <c r="I41" s="62" t="s">
        <v>106</v>
      </c>
      <c r="J41" s="63" t="s">
        <v>107</v>
      </c>
      <c r="K41" s="62">
        <v>1737</v>
      </c>
      <c r="L41" s="62" t="s">
        <v>108</v>
      </c>
      <c r="M41" s="63" t="s">
        <v>76</v>
      </c>
      <c r="N41" s="63"/>
      <c r="O41" s="64" t="s">
        <v>77</v>
      </c>
      <c r="P41" s="64" t="s">
        <v>78</v>
      </c>
    </row>
    <row r="42" spans="1:16" ht="12.75" customHeight="1" thickBot="1" x14ac:dyDescent="0.25">
      <c r="A42" s="53" t="str">
        <f t="shared" si="0"/>
        <v> VSS 4.170 </v>
      </c>
      <c r="B42" s="6" t="str">
        <f t="shared" si="1"/>
        <v>I</v>
      </c>
      <c r="C42" s="53">
        <f t="shared" si="2"/>
        <v>31353.413</v>
      </c>
      <c r="D42" s="14" t="str">
        <f t="shared" si="3"/>
        <v>vis</v>
      </c>
      <c r="E42" s="61">
        <f>VLOOKUP(C42,Active!C$21:E$973,3,FALSE)</f>
        <v>1743.9754762520149</v>
      </c>
      <c r="F42" s="6" t="s">
        <v>70</v>
      </c>
      <c r="G42" s="14" t="str">
        <f t="shared" si="4"/>
        <v>31353.413</v>
      </c>
      <c r="H42" s="53">
        <f t="shared" si="5"/>
        <v>1744</v>
      </c>
      <c r="I42" s="62" t="s">
        <v>109</v>
      </c>
      <c r="J42" s="63" t="s">
        <v>110</v>
      </c>
      <c r="K42" s="62">
        <v>1744</v>
      </c>
      <c r="L42" s="62" t="s">
        <v>111</v>
      </c>
      <c r="M42" s="63" t="s">
        <v>76</v>
      </c>
      <c r="N42" s="63"/>
      <c r="O42" s="64" t="s">
        <v>77</v>
      </c>
      <c r="P42" s="64" t="s">
        <v>78</v>
      </c>
    </row>
    <row r="43" spans="1:16" ht="12.75" customHeight="1" thickBot="1" x14ac:dyDescent="0.25">
      <c r="A43" s="53" t="str">
        <f t="shared" ref="A43:A59" si="6">P43</f>
        <v> VSS 4.170 </v>
      </c>
      <c r="B43" s="6" t="str">
        <f t="shared" ref="B43:B59" si="7">IF(H43=INT(H43),"I","II")</f>
        <v>I</v>
      </c>
      <c r="C43" s="53">
        <f t="shared" ref="C43:C59" si="8">1*G43</f>
        <v>31413.428</v>
      </c>
      <c r="D43" s="14" t="str">
        <f t="shared" ref="D43:D59" si="9">VLOOKUP(F43,I$1:J$5,2,FALSE)</f>
        <v>vis</v>
      </c>
      <c r="E43" s="61">
        <f>VLOOKUP(C43,Active!C$21:E$973,3,FALSE)</f>
        <v>1790.0035202653009</v>
      </c>
      <c r="F43" s="6" t="s">
        <v>70</v>
      </c>
      <c r="G43" s="14" t="str">
        <f t="shared" ref="G43:G59" si="10">MID(I43,3,LEN(I43)-3)</f>
        <v>31413.428</v>
      </c>
      <c r="H43" s="53">
        <f t="shared" ref="H43:H59" si="11">1*K43</f>
        <v>1790</v>
      </c>
      <c r="I43" s="62" t="s">
        <v>112</v>
      </c>
      <c r="J43" s="63" t="s">
        <v>113</v>
      </c>
      <c r="K43" s="62">
        <v>1790</v>
      </c>
      <c r="L43" s="62" t="s">
        <v>114</v>
      </c>
      <c r="M43" s="63" t="s">
        <v>76</v>
      </c>
      <c r="N43" s="63"/>
      <c r="O43" s="64" t="s">
        <v>77</v>
      </c>
      <c r="P43" s="64" t="s">
        <v>78</v>
      </c>
    </row>
    <row r="44" spans="1:16" ht="12.75" customHeight="1" thickBot="1" x14ac:dyDescent="0.25">
      <c r="A44" s="53" t="str">
        <f t="shared" si="6"/>
        <v> VSS 4.170 </v>
      </c>
      <c r="B44" s="6" t="str">
        <f t="shared" si="7"/>
        <v>I</v>
      </c>
      <c r="C44" s="53">
        <f t="shared" si="8"/>
        <v>31645.455000000002</v>
      </c>
      <c r="D44" s="14" t="str">
        <f t="shared" si="9"/>
        <v>vis</v>
      </c>
      <c r="E44" s="61">
        <f>VLOOKUP(C44,Active!C$21:E$973,3,FALSE)</f>
        <v>1967.9548485710729</v>
      </c>
      <c r="F44" s="6" t="s">
        <v>70</v>
      </c>
      <c r="G44" s="14" t="str">
        <f t="shared" si="10"/>
        <v>31645.455</v>
      </c>
      <c r="H44" s="53">
        <f t="shared" si="11"/>
        <v>1968</v>
      </c>
      <c r="I44" s="62" t="s">
        <v>115</v>
      </c>
      <c r="J44" s="63" t="s">
        <v>116</v>
      </c>
      <c r="K44" s="62">
        <v>1968</v>
      </c>
      <c r="L44" s="62" t="s">
        <v>117</v>
      </c>
      <c r="M44" s="63" t="s">
        <v>76</v>
      </c>
      <c r="N44" s="63"/>
      <c r="O44" s="64" t="s">
        <v>77</v>
      </c>
      <c r="P44" s="64" t="s">
        <v>78</v>
      </c>
    </row>
    <row r="45" spans="1:16" ht="12.75" customHeight="1" thickBot="1" x14ac:dyDescent="0.25">
      <c r="A45" s="53" t="str">
        <f t="shared" si="6"/>
        <v> VSS 4.170 </v>
      </c>
      <c r="B45" s="6" t="str">
        <f t="shared" si="7"/>
        <v>I</v>
      </c>
      <c r="C45" s="53">
        <f t="shared" si="8"/>
        <v>33914.313000000002</v>
      </c>
      <c r="D45" s="14" t="str">
        <f t="shared" si="9"/>
        <v>vis</v>
      </c>
      <c r="E45" s="61">
        <f>VLOOKUP(C45,Active!C$21:E$973,3,FALSE)</f>
        <v>3708.0380924917131</v>
      </c>
      <c r="F45" s="6" t="s">
        <v>70</v>
      </c>
      <c r="G45" s="14" t="str">
        <f t="shared" si="10"/>
        <v>33914.313</v>
      </c>
      <c r="H45" s="53">
        <f t="shared" si="11"/>
        <v>3708</v>
      </c>
      <c r="I45" s="62" t="s">
        <v>118</v>
      </c>
      <c r="J45" s="63" t="s">
        <v>119</v>
      </c>
      <c r="K45" s="62">
        <v>3708</v>
      </c>
      <c r="L45" s="62" t="s">
        <v>120</v>
      </c>
      <c r="M45" s="63" t="s">
        <v>76</v>
      </c>
      <c r="N45" s="63"/>
      <c r="O45" s="64" t="s">
        <v>77</v>
      </c>
      <c r="P45" s="64" t="s">
        <v>78</v>
      </c>
    </row>
    <row r="46" spans="1:16" ht="12.75" customHeight="1" thickBot="1" x14ac:dyDescent="0.25">
      <c r="A46" s="53" t="str">
        <f t="shared" si="6"/>
        <v> VSS 4.170 </v>
      </c>
      <c r="B46" s="6" t="str">
        <f t="shared" si="7"/>
        <v>I</v>
      </c>
      <c r="C46" s="53">
        <f t="shared" si="8"/>
        <v>33923.373</v>
      </c>
      <c r="D46" s="14" t="str">
        <f t="shared" si="9"/>
        <v>vis</v>
      </c>
      <c r="E46" s="61">
        <f>VLOOKUP(C46,Active!C$21:E$973,3,FALSE)</f>
        <v>3714.9865900133373</v>
      </c>
      <c r="F46" s="6" t="s">
        <v>70</v>
      </c>
      <c r="G46" s="14" t="str">
        <f t="shared" si="10"/>
        <v>33923.373</v>
      </c>
      <c r="H46" s="53">
        <f t="shared" si="11"/>
        <v>3715</v>
      </c>
      <c r="I46" s="62" t="s">
        <v>121</v>
      </c>
      <c r="J46" s="63" t="s">
        <v>122</v>
      </c>
      <c r="K46" s="62">
        <v>3715</v>
      </c>
      <c r="L46" s="62" t="s">
        <v>81</v>
      </c>
      <c r="M46" s="63" t="s">
        <v>76</v>
      </c>
      <c r="N46" s="63"/>
      <c r="O46" s="64" t="s">
        <v>77</v>
      </c>
      <c r="P46" s="64" t="s">
        <v>78</v>
      </c>
    </row>
    <row r="47" spans="1:16" ht="12.75" customHeight="1" thickBot="1" x14ac:dyDescent="0.25">
      <c r="A47" s="53" t="str">
        <f t="shared" si="6"/>
        <v> VSS 4.170 </v>
      </c>
      <c r="B47" s="6" t="str">
        <f t="shared" si="7"/>
        <v>I</v>
      </c>
      <c r="C47" s="53">
        <f t="shared" si="8"/>
        <v>33928.584000000003</v>
      </c>
      <c r="D47" s="14" t="str">
        <f t="shared" si="9"/>
        <v>vis</v>
      </c>
      <c r="E47" s="61">
        <f>VLOOKUP(C47,Active!C$21:E$973,3,FALSE)</f>
        <v>3718.983126501771</v>
      </c>
      <c r="F47" s="6" t="s">
        <v>70</v>
      </c>
      <c r="G47" s="14" t="str">
        <f t="shared" si="10"/>
        <v>33928.584</v>
      </c>
      <c r="H47" s="53">
        <f t="shared" si="11"/>
        <v>3719</v>
      </c>
      <c r="I47" s="62" t="s">
        <v>123</v>
      </c>
      <c r="J47" s="63" t="s">
        <v>124</v>
      </c>
      <c r="K47" s="62">
        <v>3719</v>
      </c>
      <c r="L47" s="62" t="s">
        <v>125</v>
      </c>
      <c r="M47" s="63" t="s">
        <v>76</v>
      </c>
      <c r="N47" s="63"/>
      <c r="O47" s="64" t="s">
        <v>77</v>
      </c>
      <c r="P47" s="64" t="s">
        <v>78</v>
      </c>
    </row>
    <row r="48" spans="1:16" ht="12.75" customHeight="1" thickBot="1" x14ac:dyDescent="0.25">
      <c r="A48" s="53" t="str">
        <f t="shared" si="6"/>
        <v>BAVM 79 </v>
      </c>
      <c r="B48" s="6" t="str">
        <f t="shared" si="7"/>
        <v>I</v>
      </c>
      <c r="C48" s="53">
        <f t="shared" si="8"/>
        <v>47139.605000000003</v>
      </c>
      <c r="D48" s="14" t="str">
        <f t="shared" si="9"/>
        <v>vis</v>
      </c>
      <c r="E48" s="61">
        <f>VLOOKUP(C48,Active!C$21:E$973,3,FALSE)</f>
        <v>13851.074371164812</v>
      </c>
      <c r="F48" s="6" t="s">
        <v>70</v>
      </c>
      <c r="G48" s="14" t="str">
        <f t="shared" si="10"/>
        <v>47139.605</v>
      </c>
      <c r="H48" s="53">
        <f t="shared" si="11"/>
        <v>13851</v>
      </c>
      <c r="I48" s="62" t="s">
        <v>126</v>
      </c>
      <c r="J48" s="63" t="s">
        <v>127</v>
      </c>
      <c r="K48" s="62">
        <v>13851</v>
      </c>
      <c r="L48" s="62" t="s">
        <v>128</v>
      </c>
      <c r="M48" s="63" t="s">
        <v>72</v>
      </c>
      <c r="N48" s="63"/>
      <c r="O48" s="64" t="s">
        <v>129</v>
      </c>
      <c r="P48" s="65" t="s">
        <v>130</v>
      </c>
    </row>
    <row r="49" spans="1:16" ht="12.75" customHeight="1" thickBot="1" x14ac:dyDescent="0.25">
      <c r="A49" s="53" t="str">
        <f t="shared" si="6"/>
        <v>BAVM 79 </v>
      </c>
      <c r="B49" s="6" t="str">
        <f t="shared" si="7"/>
        <v>I</v>
      </c>
      <c r="C49" s="53">
        <f t="shared" si="8"/>
        <v>48503.500999999997</v>
      </c>
      <c r="D49" s="14" t="str">
        <f t="shared" si="9"/>
        <v>vis</v>
      </c>
      <c r="E49" s="61">
        <f>VLOOKUP(C49,Active!C$21:E$973,3,FALSE)</f>
        <v>14897.103949062755</v>
      </c>
      <c r="F49" s="6" t="s">
        <v>70</v>
      </c>
      <c r="G49" s="14" t="str">
        <f t="shared" si="10"/>
        <v>48503.501</v>
      </c>
      <c r="H49" s="53">
        <f t="shared" si="11"/>
        <v>14897</v>
      </c>
      <c r="I49" s="62" t="s">
        <v>137</v>
      </c>
      <c r="J49" s="63" t="s">
        <v>138</v>
      </c>
      <c r="K49" s="62">
        <v>14897</v>
      </c>
      <c r="L49" s="62" t="s">
        <v>139</v>
      </c>
      <c r="M49" s="63" t="s">
        <v>72</v>
      </c>
      <c r="N49" s="63"/>
      <c r="O49" s="64" t="s">
        <v>129</v>
      </c>
      <c r="P49" s="65" t="s">
        <v>130</v>
      </c>
    </row>
    <row r="50" spans="1:16" ht="12.75" customHeight="1" thickBot="1" x14ac:dyDescent="0.25">
      <c r="A50" s="53" t="str">
        <f t="shared" si="6"/>
        <v>BAVM 79 </v>
      </c>
      <c r="B50" s="6" t="str">
        <f t="shared" si="7"/>
        <v>II</v>
      </c>
      <c r="C50" s="53">
        <f t="shared" si="8"/>
        <v>48539.387000000002</v>
      </c>
      <c r="D50" s="14" t="str">
        <f t="shared" si="9"/>
        <v>vis</v>
      </c>
      <c r="E50" s="61">
        <f>VLOOKUP(C50,Active!C$21:E$973,3,FALSE)</f>
        <v>14924.626441563982</v>
      </c>
      <c r="F50" s="6" t="s">
        <v>70</v>
      </c>
      <c r="G50" s="14" t="str">
        <f t="shared" si="10"/>
        <v>48539.387</v>
      </c>
      <c r="H50" s="53">
        <f t="shared" si="11"/>
        <v>14924.5</v>
      </c>
      <c r="I50" s="62" t="s">
        <v>140</v>
      </c>
      <c r="J50" s="63" t="s">
        <v>141</v>
      </c>
      <c r="K50" s="62">
        <v>14924.5</v>
      </c>
      <c r="L50" s="62" t="s">
        <v>142</v>
      </c>
      <c r="M50" s="63" t="s">
        <v>72</v>
      </c>
      <c r="N50" s="63"/>
      <c r="O50" s="64" t="s">
        <v>129</v>
      </c>
      <c r="P50" s="65" t="s">
        <v>130</v>
      </c>
    </row>
    <row r="51" spans="1:16" ht="12.75" customHeight="1" thickBot="1" x14ac:dyDescent="0.25">
      <c r="A51" s="53" t="str">
        <f t="shared" si="6"/>
        <v>BAVM 158 </v>
      </c>
      <c r="B51" s="6" t="str">
        <f t="shared" si="7"/>
        <v>I</v>
      </c>
      <c r="C51" s="53">
        <f t="shared" si="8"/>
        <v>52146.5334</v>
      </c>
      <c r="D51" s="14" t="str">
        <f t="shared" si="9"/>
        <v>vis</v>
      </c>
      <c r="E51" s="61">
        <f>VLOOKUP(C51,Active!C$21:E$973,3,FALSE)</f>
        <v>17691.099710939438</v>
      </c>
      <c r="F51" s="6" t="s">
        <v>70</v>
      </c>
      <c r="G51" s="14" t="str">
        <f t="shared" si="10"/>
        <v>52146.5334</v>
      </c>
      <c r="H51" s="53">
        <f t="shared" si="11"/>
        <v>17691</v>
      </c>
      <c r="I51" s="62" t="s">
        <v>179</v>
      </c>
      <c r="J51" s="63" t="s">
        <v>180</v>
      </c>
      <c r="K51" s="62">
        <v>17691</v>
      </c>
      <c r="L51" s="62" t="s">
        <v>181</v>
      </c>
      <c r="M51" s="63" t="s">
        <v>150</v>
      </c>
      <c r="N51" s="63" t="s">
        <v>151</v>
      </c>
      <c r="O51" s="64" t="s">
        <v>182</v>
      </c>
      <c r="P51" s="65" t="s">
        <v>183</v>
      </c>
    </row>
    <row r="52" spans="1:16" ht="12.75" customHeight="1" thickBot="1" x14ac:dyDescent="0.25">
      <c r="A52" s="53" t="str">
        <f t="shared" si="6"/>
        <v>BAVM 212 </v>
      </c>
      <c r="B52" s="6" t="str">
        <f t="shared" si="7"/>
        <v>I</v>
      </c>
      <c r="C52" s="53">
        <f t="shared" si="8"/>
        <v>55072.4352</v>
      </c>
      <c r="D52" s="14" t="str">
        <f t="shared" si="9"/>
        <v>vis</v>
      </c>
      <c r="E52" s="61">
        <f>VLOOKUP(C52,Active!C$21:E$973,3,FALSE)</f>
        <v>19935.097658601757</v>
      </c>
      <c r="F52" s="6" t="s">
        <v>70</v>
      </c>
      <c r="G52" s="14" t="str">
        <f t="shared" si="10"/>
        <v>55072.4352</v>
      </c>
      <c r="H52" s="53">
        <f t="shared" si="11"/>
        <v>19935</v>
      </c>
      <c r="I52" s="62" t="s">
        <v>214</v>
      </c>
      <c r="J52" s="63" t="s">
        <v>215</v>
      </c>
      <c r="K52" s="62" t="s">
        <v>216</v>
      </c>
      <c r="L52" s="62" t="s">
        <v>217</v>
      </c>
      <c r="M52" s="63" t="s">
        <v>187</v>
      </c>
      <c r="N52" s="63" t="s">
        <v>151</v>
      </c>
      <c r="O52" s="64" t="s">
        <v>218</v>
      </c>
      <c r="P52" s="65" t="s">
        <v>219</v>
      </c>
    </row>
    <row r="53" spans="1:16" ht="12.75" customHeight="1" thickBot="1" x14ac:dyDescent="0.25">
      <c r="A53" s="53" t="str">
        <f t="shared" si="6"/>
        <v>BAVM 212 </v>
      </c>
      <c r="B53" s="6" t="str">
        <f t="shared" si="7"/>
        <v>II</v>
      </c>
      <c r="C53" s="53">
        <f t="shared" si="8"/>
        <v>55074.387999999999</v>
      </c>
      <c r="D53" s="14" t="str">
        <f t="shared" si="9"/>
        <v>vis</v>
      </c>
      <c r="E53" s="61">
        <f>VLOOKUP(C53,Active!C$21:E$973,3,FALSE)</f>
        <v>19936.59534358633</v>
      </c>
      <c r="F53" s="6" t="s">
        <v>70</v>
      </c>
      <c r="G53" s="14" t="str">
        <f t="shared" si="10"/>
        <v>55074.3880</v>
      </c>
      <c r="H53" s="53">
        <f t="shared" si="11"/>
        <v>19936.5</v>
      </c>
      <c r="I53" s="62" t="s">
        <v>220</v>
      </c>
      <c r="J53" s="63" t="s">
        <v>221</v>
      </c>
      <c r="K53" s="62" t="s">
        <v>222</v>
      </c>
      <c r="L53" s="62" t="s">
        <v>202</v>
      </c>
      <c r="M53" s="63" t="s">
        <v>187</v>
      </c>
      <c r="N53" s="63" t="s">
        <v>203</v>
      </c>
      <c r="O53" s="64" t="s">
        <v>152</v>
      </c>
      <c r="P53" s="65" t="s">
        <v>219</v>
      </c>
    </row>
    <row r="54" spans="1:16" ht="12.75" customHeight="1" thickBot="1" x14ac:dyDescent="0.25">
      <c r="A54" s="53" t="str">
        <f t="shared" si="6"/>
        <v>BAVM 212 </v>
      </c>
      <c r="B54" s="6" t="str">
        <f t="shared" si="7"/>
        <v>I</v>
      </c>
      <c r="C54" s="53">
        <f t="shared" si="8"/>
        <v>55076.347199999997</v>
      </c>
      <c r="D54" s="14" t="str">
        <f t="shared" si="9"/>
        <v>vis</v>
      </c>
      <c r="E54" s="61">
        <f>VLOOKUP(C54,Active!C$21:E$973,3,FALSE)</f>
        <v>19938.097937001821</v>
      </c>
      <c r="F54" s="6" t="s">
        <v>70</v>
      </c>
      <c r="G54" s="14" t="str">
        <f t="shared" si="10"/>
        <v>55076.3472</v>
      </c>
      <c r="H54" s="53">
        <f t="shared" si="11"/>
        <v>19938</v>
      </c>
      <c r="I54" s="62" t="s">
        <v>223</v>
      </c>
      <c r="J54" s="63" t="s">
        <v>224</v>
      </c>
      <c r="K54" s="62" t="s">
        <v>225</v>
      </c>
      <c r="L54" s="62" t="s">
        <v>226</v>
      </c>
      <c r="M54" s="63" t="s">
        <v>187</v>
      </c>
      <c r="N54" s="63" t="s">
        <v>203</v>
      </c>
      <c r="O54" s="64" t="s">
        <v>152</v>
      </c>
      <c r="P54" s="65" t="s">
        <v>219</v>
      </c>
    </row>
    <row r="55" spans="1:16" ht="12.75" customHeight="1" thickBot="1" x14ac:dyDescent="0.25">
      <c r="A55" s="53" t="str">
        <f t="shared" si="6"/>
        <v>BAVM 212 </v>
      </c>
      <c r="B55" s="6" t="str">
        <f t="shared" si="7"/>
        <v>I</v>
      </c>
      <c r="C55" s="53">
        <f t="shared" si="8"/>
        <v>55098.514600000002</v>
      </c>
      <c r="D55" s="14" t="str">
        <f t="shared" si="9"/>
        <v>vis</v>
      </c>
      <c r="E55" s="61">
        <f>VLOOKUP(C55,Active!C$21:E$973,3,FALSE)</f>
        <v>19955.099054436803</v>
      </c>
      <c r="F55" s="6" t="s">
        <v>70</v>
      </c>
      <c r="G55" s="14" t="str">
        <f t="shared" si="10"/>
        <v>55098.5146</v>
      </c>
      <c r="H55" s="53">
        <f t="shared" si="11"/>
        <v>19955</v>
      </c>
      <c r="I55" s="62" t="s">
        <v>227</v>
      </c>
      <c r="J55" s="63" t="s">
        <v>228</v>
      </c>
      <c r="K55" s="62" t="s">
        <v>229</v>
      </c>
      <c r="L55" s="62" t="s">
        <v>230</v>
      </c>
      <c r="M55" s="63" t="s">
        <v>187</v>
      </c>
      <c r="N55" s="63" t="s">
        <v>203</v>
      </c>
      <c r="O55" s="64" t="s">
        <v>152</v>
      </c>
      <c r="P55" s="65" t="s">
        <v>219</v>
      </c>
    </row>
    <row r="56" spans="1:16" ht="12.75" customHeight="1" thickBot="1" x14ac:dyDescent="0.25">
      <c r="A56" s="53" t="str">
        <f t="shared" si="6"/>
        <v>BAVM 225 </v>
      </c>
      <c r="B56" s="6" t="str">
        <f t="shared" si="7"/>
        <v>II</v>
      </c>
      <c r="C56" s="53">
        <f t="shared" si="8"/>
        <v>55838.479200000002</v>
      </c>
      <c r="D56" s="14" t="str">
        <f t="shared" si="9"/>
        <v>vis</v>
      </c>
      <c r="E56" s="61">
        <f>VLOOKUP(C56,Active!C$21:E$973,3,FALSE)</f>
        <v>20522.60922984418</v>
      </c>
      <c r="F56" s="6" t="s">
        <v>70</v>
      </c>
      <c r="G56" s="14" t="str">
        <f t="shared" si="10"/>
        <v>55838.4792</v>
      </c>
      <c r="H56" s="53">
        <f t="shared" si="11"/>
        <v>20522.5</v>
      </c>
      <c r="I56" s="62" t="s">
        <v>247</v>
      </c>
      <c r="J56" s="63" t="s">
        <v>248</v>
      </c>
      <c r="K56" s="62" t="s">
        <v>249</v>
      </c>
      <c r="L56" s="62" t="s">
        <v>250</v>
      </c>
      <c r="M56" s="63" t="s">
        <v>187</v>
      </c>
      <c r="N56" s="63" t="s">
        <v>203</v>
      </c>
      <c r="O56" s="64" t="s">
        <v>152</v>
      </c>
      <c r="P56" s="65" t="s">
        <v>251</v>
      </c>
    </row>
    <row r="57" spans="1:16" ht="12.75" customHeight="1" thickBot="1" x14ac:dyDescent="0.25">
      <c r="A57" s="53" t="str">
        <f t="shared" si="6"/>
        <v>BAVM 225 </v>
      </c>
      <c r="B57" s="6" t="str">
        <f t="shared" si="7"/>
        <v>I</v>
      </c>
      <c r="C57" s="53">
        <f t="shared" si="8"/>
        <v>55849.561500000003</v>
      </c>
      <c r="D57" s="14" t="str">
        <f t="shared" si="9"/>
        <v>vis</v>
      </c>
      <c r="E57" s="61">
        <f>VLOOKUP(C57,Active!C$21:E$973,3,FALSE)</f>
        <v>20531.108714842409</v>
      </c>
      <c r="F57" s="6" t="s">
        <v>70</v>
      </c>
      <c r="G57" s="14" t="str">
        <f t="shared" si="10"/>
        <v>55849.5615</v>
      </c>
      <c r="H57" s="53">
        <f t="shared" si="11"/>
        <v>20531</v>
      </c>
      <c r="I57" s="62" t="s">
        <v>252</v>
      </c>
      <c r="J57" s="63" t="s">
        <v>253</v>
      </c>
      <c r="K57" s="62" t="s">
        <v>254</v>
      </c>
      <c r="L57" s="62" t="s">
        <v>255</v>
      </c>
      <c r="M57" s="63" t="s">
        <v>187</v>
      </c>
      <c r="N57" s="63" t="s">
        <v>256</v>
      </c>
      <c r="O57" s="64" t="s">
        <v>240</v>
      </c>
      <c r="P57" s="65" t="s">
        <v>251</v>
      </c>
    </row>
    <row r="58" spans="1:16" ht="12.75" customHeight="1" thickBot="1" x14ac:dyDescent="0.25">
      <c r="A58" s="53" t="str">
        <f t="shared" si="6"/>
        <v>BAVM 225 </v>
      </c>
      <c r="B58" s="6" t="str">
        <f t="shared" si="7"/>
        <v>I</v>
      </c>
      <c r="C58" s="53">
        <f t="shared" si="8"/>
        <v>55874.336199999998</v>
      </c>
      <c r="D58" s="14" t="str">
        <f t="shared" si="9"/>
        <v>vis</v>
      </c>
      <c r="E58" s="61">
        <f>VLOOKUP(C58,Active!C$21:E$973,3,FALSE)</f>
        <v>20550.109481017793</v>
      </c>
      <c r="F58" s="6" t="s">
        <v>70</v>
      </c>
      <c r="G58" s="14" t="str">
        <f t="shared" si="10"/>
        <v>55874.3362</v>
      </c>
      <c r="H58" s="53">
        <f t="shared" si="11"/>
        <v>20550</v>
      </c>
      <c r="I58" s="62" t="s">
        <v>257</v>
      </c>
      <c r="J58" s="63" t="s">
        <v>258</v>
      </c>
      <c r="K58" s="62" t="s">
        <v>259</v>
      </c>
      <c r="L58" s="62" t="s">
        <v>260</v>
      </c>
      <c r="M58" s="63" t="s">
        <v>187</v>
      </c>
      <c r="N58" s="63" t="s">
        <v>151</v>
      </c>
      <c r="O58" s="64" t="s">
        <v>261</v>
      </c>
      <c r="P58" s="65" t="s">
        <v>251</v>
      </c>
    </row>
    <row r="59" spans="1:16" ht="12.75" customHeight="1" thickBot="1" x14ac:dyDescent="0.25">
      <c r="A59" s="53" t="str">
        <f t="shared" si="6"/>
        <v>BAVM 225 </v>
      </c>
      <c r="B59" s="6" t="str">
        <f t="shared" si="7"/>
        <v>I</v>
      </c>
      <c r="C59" s="53">
        <f t="shared" si="8"/>
        <v>55874.336300000003</v>
      </c>
      <c r="D59" s="14" t="str">
        <f t="shared" si="9"/>
        <v>vis</v>
      </c>
      <c r="E59" s="61">
        <f>VLOOKUP(C59,Active!C$21:E$973,3,FALSE)</f>
        <v>20550.109557712029</v>
      </c>
      <c r="F59" s="6" t="s">
        <v>70</v>
      </c>
      <c r="G59" s="14" t="str">
        <f t="shared" si="10"/>
        <v>55874.3363</v>
      </c>
      <c r="H59" s="53">
        <f t="shared" si="11"/>
        <v>20550</v>
      </c>
      <c r="I59" s="62" t="s">
        <v>262</v>
      </c>
      <c r="J59" s="63" t="s">
        <v>258</v>
      </c>
      <c r="K59" s="62" t="s">
        <v>259</v>
      </c>
      <c r="L59" s="62" t="s">
        <v>263</v>
      </c>
      <c r="M59" s="63" t="s">
        <v>187</v>
      </c>
      <c r="N59" s="63" t="s">
        <v>203</v>
      </c>
      <c r="O59" s="64" t="s">
        <v>152</v>
      </c>
      <c r="P59" s="65" t="s">
        <v>251</v>
      </c>
    </row>
    <row r="60" spans="1:16" x14ac:dyDescent="0.2">
      <c r="B60" s="6"/>
      <c r="F60" s="6"/>
    </row>
    <row r="61" spans="1:16" x14ac:dyDescent="0.2">
      <c r="B61" s="6"/>
      <c r="F61" s="6"/>
    </row>
    <row r="62" spans="1:16" x14ac:dyDescent="0.2">
      <c r="B62" s="6"/>
      <c r="F62" s="6"/>
    </row>
    <row r="63" spans="1:16" x14ac:dyDescent="0.2">
      <c r="B63" s="6"/>
      <c r="F63" s="6"/>
    </row>
    <row r="64" spans="1:1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</sheetData>
  <phoneticPr fontId="7" type="noConversion"/>
  <hyperlinks>
    <hyperlink ref="P48" r:id="rId1" display="http://www.bav-astro.de/sfs/BAVM_link.php?BAVMnr=79"/>
    <hyperlink ref="P49" r:id="rId2" display="http://www.bav-astro.de/sfs/BAVM_link.php?BAVMnr=79"/>
    <hyperlink ref="P50" r:id="rId3" display="http://www.bav-astro.de/sfs/BAVM_link.php?BAVMnr=79"/>
    <hyperlink ref="P13" r:id="rId4" display="http://www.bav-astro.de/sfs/BAVM_link.php?BAVMnr=132"/>
    <hyperlink ref="P14" r:id="rId5" display="http://www.bav-astro.de/sfs/BAVM_link.php?BAVMnr=132"/>
    <hyperlink ref="P15" r:id="rId6" display="http://www.bav-astro.de/sfs/BAVM_link.php?BAVMnr=132"/>
    <hyperlink ref="P16" r:id="rId7" display="http://www.bav-astro.de/sfs/BAVM_link.php?BAVMnr=99"/>
    <hyperlink ref="P19" r:id="rId8" display="http://www.bav-astro.de/sfs/BAVM_link.php?BAVMnr=152"/>
    <hyperlink ref="P20" r:id="rId9" display="http://www.bav-astro.de/sfs/BAVM_link.php?BAVMnr=152"/>
    <hyperlink ref="P51" r:id="rId10" display="http://www.bav-astro.de/sfs/BAVM_link.php?BAVMnr=158"/>
    <hyperlink ref="P21" r:id="rId11" display="http://var.astro.cz/oejv/issues/oejv0074.pdf"/>
    <hyperlink ref="P22" r:id="rId12" display="http://www.bav-astro.de/sfs/BAVM_link.php?BAVMnr=183"/>
    <hyperlink ref="P23" r:id="rId13" display="http://www.konkoly.hu/cgi-bin/IBVS?5653"/>
    <hyperlink ref="P24" r:id="rId14" display="http://www.bav-astro.de/sfs/BAVM_link.php?BAVMnr=173"/>
    <hyperlink ref="P25" r:id="rId15" display="http://www.bav-astro.de/sfs/BAVM_link.php?BAVMnr=178"/>
    <hyperlink ref="P26" r:id="rId16" display="http://www.bav-astro.de/sfs/BAVM_link.php?BAVMnr=183"/>
    <hyperlink ref="P52" r:id="rId17" display="http://www.bav-astro.de/sfs/BAVM_link.php?BAVMnr=212"/>
    <hyperlink ref="P53" r:id="rId18" display="http://www.bav-astro.de/sfs/BAVM_link.php?BAVMnr=212"/>
    <hyperlink ref="P54" r:id="rId19" display="http://www.bav-astro.de/sfs/BAVM_link.php?BAVMnr=212"/>
    <hyperlink ref="P55" r:id="rId20" display="http://www.bav-astro.de/sfs/BAVM_link.php?BAVMnr=212"/>
    <hyperlink ref="P27" r:id="rId21" display="http://www.bav-astro.de/sfs/BAVM_link.php?BAVMnr=215"/>
    <hyperlink ref="P28" r:id="rId22" display="http://www.bav-astro.de/sfs/BAVM_link.php?BAVMnr=220"/>
    <hyperlink ref="P29" r:id="rId23" display="http://www.konkoly.hu/cgi-bin/IBVS?5960"/>
    <hyperlink ref="P56" r:id="rId24" display="http://www.bav-astro.de/sfs/BAVM_link.php?BAVMnr=225"/>
    <hyperlink ref="P57" r:id="rId25" display="http://www.bav-astro.de/sfs/BAVM_link.php?BAVMnr=225"/>
    <hyperlink ref="P58" r:id="rId26" display="http://www.bav-astro.de/sfs/BAVM_link.php?BAVMnr=225"/>
    <hyperlink ref="P59" r:id="rId27" display="http://www.bav-astro.de/sfs/BAVM_link.php?BAVMnr=225"/>
    <hyperlink ref="P30" r:id="rId28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2024-01-19T05:56:59Z</dcterms:modified>
</cp:coreProperties>
</file>