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1A74FDD-45C4-4410-B018-E6CE25B1DA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3" i="1"/>
  <c r="F23" i="1"/>
  <c r="G23" i="1"/>
  <c r="I23" i="1"/>
  <c r="C8" i="1"/>
  <c r="E22" i="1"/>
  <c r="F22" i="1"/>
  <c r="G22" i="1"/>
  <c r="I22" i="1"/>
  <c r="E25" i="1"/>
  <c r="F25" i="1"/>
  <c r="G25" i="1"/>
  <c r="K25" i="1"/>
  <c r="E27" i="1"/>
  <c r="F27" i="1"/>
  <c r="G27" i="1"/>
  <c r="J27" i="1"/>
  <c r="E26" i="1"/>
  <c r="F26" i="1"/>
  <c r="G26" i="1"/>
  <c r="K26" i="1"/>
  <c r="E24" i="1"/>
  <c r="F24" i="1"/>
  <c r="D9" i="1"/>
  <c r="C9" i="1"/>
  <c r="Q21" i="1"/>
  <c r="Q22" i="1"/>
  <c r="G13" i="2"/>
  <c r="C13" i="2"/>
  <c r="E13" i="2"/>
  <c r="G16" i="2"/>
  <c r="C16" i="2"/>
  <c r="E16" i="2"/>
  <c r="G12" i="2"/>
  <c r="C12" i="2"/>
  <c r="E12" i="2"/>
  <c r="G11" i="2"/>
  <c r="C11" i="2"/>
  <c r="E11" i="2"/>
  <c r="G15" i="2"/>
  <c r="C15" i="2"/>
  <c r="E15" i="2"/>
  <c r="G14" i="2"/>
  <c r="C14" i="2"/>
  <c r="H13" i="2"/>
  <c r="D13" i="2"/>
  <c r="B13" i="2"/>
  <c r="A13" i="2"/>
  <c r="H16" i="2"/>
  <c r="B16" i="2"/>
  <c r="D16" i="2"/>
  <c r="A16" i="2"/>
  <c r="H12" i="2"/>
  <c r="D12" i="2"/>
  <c r="B12" i="2"/>
  <c r="A12" i="2"/>
  <c r="H11" i="2"/>
  <c r="B11" i="2"/>
  <c r="D11" i="2"/>
  <c r="A11" i="2"/>
  <c r="H15" i="2"/>
  <c r="D15" i="2"/>
  <c r="B15" i="2"/>
  <c r="A15" i="2"/>
  <c r="H14" i="2"/>
  <c r="B14" i="2"/>
  <c r="D14" i="2"/>
  <c r="A14" i="2"/>
  <c r="Q27" i="1"/>
  <c r="Q26" i="1"/>
  <c r="F17" i="1"/>
  <c r="C17" i="1"/>
  <c r="Q25" i="1"/>
  <c r="Q24" i="1"/>
  <c r="U24" i="1"/>
  <c r="Q23" i="1"/>
  <c r="E14" i="2"/>
  <c r="E21" i="1"/>
  <c r="F21" i="1"/>
  <c r="G21" i="1"/>
  <c r="I21" i="1"/>
  <c r="C12" i="1"/>
  <c r="C11" i="1"/>
  <c r="O26" i="1" l="1"/>
  <c r="O22" i="1"/>
  <c r="O27" i="1"/>
  <c r="O21" i="1"/>
  <c r="C15" i="1"/>
  <c r="O24" i="1"/>
  <c r="O23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<sst xmlns="http://schemas.openxmlformats.org/spreadsheetml/2006/main" count="116" uniqueCount="91">
  <si>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</si>
  <si>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</si>
  <si>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</si>
  <si>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</si>
  <si>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</si>
  <si>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</si>
  <si>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</si>
  <si>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</si>
  <si>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</si>
  <si>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</si>
  <si>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</si>
  <si>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</si>
  <si>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</si>
  <si>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</si>
  <si>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</si>
  <si>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</si>
  <si>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</si>
  <si>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</si>
  <si>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</si>
  <si>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</si>
  <si>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</si>
  <si>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</si>
  <si>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</si>
  <si>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</si>
  <si>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</si>
  <si>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</si>
  <si>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</si>
  <si>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</si>
  <si>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</si>
  <si>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Bull.109</t>
  </si>
  <si>
    <t>B</t>
  </si>
  <si>
    <t>II</t>
  </si>
  <si>
    <t># of data points:</t>
  </si>
  <si>
    <t>EA/AR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</si>
  <si>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</si>
  <si>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</si>
  <si>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</si>
  <si>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</si>
  <si>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</si>
  <si>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</si>
  <si>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I</t>
  </si>
  <si>
    <t>Start of linear fit &gt;&gt;&gt;&gt;&gt;&gt;&gt;&gt;&gt;&gt;&gt;&gt;&gt;&gt;&gt;&gt;&gt;&gt;&gt;&gt;&gt;</t>
  </si>
  <si>
    <t>OEJV 0107</t>
  </si>
  <si>
    <t>IBVS 5984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</si>
  <si>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</si>
  <si>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</si>
  <si>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</si>
  <si>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</si>
  <si>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</si>
  <si>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</si>
  <si>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</si>
  <si>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</si>
  <si>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</si>
  <si>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</si>
  <si>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</si>
  <si>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</si>
  <si>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2438299.522 </t>
  </si>
  <si>
    <t> 27.09.1963 00:31 </t>
  </si>
  <si>
    <t> 0.082 </t>
  </si>
  <si>
    <t>P </t>
  </si>
  <si>
    <t> N.B.Perova </t>
  </si>
  <si>
    <t> PZP 2.237 </t>
  </si>
  <si>
    <t>2438326.288 </t>
  </si>
  <si>
    <t> 23.10.1963 18:54 </t>
  </si>
  <si>
    <t> 0.116 </t>
  </si>
  <si>
    <t>2449930.402 </t>
  </si>
  <si>
    <t> 31.07.1995 21:38 </t>
  </si>
  <si>
    <t> 0.048 </t>
  </si>
  <si>
    <t>E </t>
  </si>
  <si>
    <t>?</t>
  </si>
  <si>
    <t> R.Diethelm </t>
  </si>
  <si>
    <t> BBS 109 </t>
  </si>
  <si>
    <t>2453344.5257 </t>
  </si>
  <si>
    <t> 05.12.2004 00:37 </t>
  </si>
  <si>
    <t> -0.2519 </t>
  </si>
  <si>
    <t> Smith &amp; Caton </t>
  </si>
  <si>
    <t>IBVS 5745 </t>
  </si>
  <si>
    <t>2454389.4846 </t>
  </si>
  <si>
    <t> 15.10.2007 23:37 </t>
  </si>
  <si>
    <t> -0.2768 </t>
  </si>
  <si>
    <t>C </t>
  </si>
  <si>
    <t>R</t>
  </si>
  <si>
    <t> M.Lehky </t>
  </si>
  <si>
    <t>OEJV 0107 </t>
  </si>
  <si>
    <t>2455473.3246 </t>
  </si>
  <si>
    <t> 03.10.2010 19:47 </t>
  </si>
  <si>
    <t> -0.3038 </t>
  </si>
  <si>
    <t>-I</t>
  </si>
  <si>
    <t> F.Agerer </t>
  </si>
  <si>
    <t>BAVM 215 </t>
  </si>
  <si>
    <t>V0527 Cas / gsc 4300-2232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</si>
</sst>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14"/>
      <name val="Arial Unicode MS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V0527 Cas - O-C Diagr.</a:t>
            </a:r>
          </a:p>
        </c:rich>
      </c:tx>
      <c:layout>
        <c:manualLayout>
          <c:xMode val="edge"/>
          <c:yMode val="edge"/>
          <c:x val="0.3515901060070671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9434628975265"/>
          <c:y val="0.14769252958613219"/>
          <c:w val="0.7950530035335688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8-447B-B142-0452270B56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8.1654999994498212E-2</c:v>
                </c:pt>
                <c:pt idx="1">
                  <c:v>0.11551000000326894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8-447B-B142-0452270B56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">
                  <c:v>-0.30380999999761116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D8-447B-B142-0452270B56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">
                  <c:v>-0.25188999999954831</c:v>
                </c:pt>
                <c:pt idx="5">
                  <c:v>-0.27679999999963911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D8-447B-B142-0452270B56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D8-447B-B142-0452270B56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D8-447B-B142-0452270B56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D8-447B-B142-0452270B56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0.10034626312454067</c:v>
                </c:pt>
                <c:pt idx="1">
                  <c:v>9.9719552025217081E-2</c:v>
                </c:pt>
                <c:pt idx="2">
                  <c:v>-3.8587005720815415E-3</c:v>
                </c:pt>
                <c:pt idx="3">
                  <c:v>-0.17233003881752271</c:v>
                </c:pt>
                <c:pt idx="4">
                  <c:v>-0.25237813832203565</c:v>
                </c:pt>
                <c:pt idx="5">
                  <c:v>-0.2768768449319578</c:v>
                </c:pt>
                <c:pt idx="6">
                  <c:v>-0.30228713132271423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D8-447B-B142-0452270B56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-914.5</c:v>
                </c:pt>
                <c:pt idx="1">
                  <c:v>-909</c:v>
                </c:pt>
                <c:pt idx="2">
                  <c:v>0</c:v>
                </c:pt>
                <c:pt idx="3">
                  <c:v>1478.5</c:v>
                </c:pt>
                <c:pt idx="4">
                  <c:v>2181</c:v>
                </c:pt>
                <c:pt idx="5">
                  <c:v>2396</c:v>
                </c:pt>
                <c:pt idx="6">
                  <c:v>2619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3">
                  <c:v>4.8385000001871958E-2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D8-447B-B142-0452270B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488064"/>
        <c:axId val="1"/>
      </c:scatterChart>
      <c:valAx>
        <c:axId val="78748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017667844522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0353356890459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8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97526501766785"/>
          <c:y val="0.92000129214617399"/>
          <c:w val="0.849823321554770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0</xdr:rowOff>
    </xdr:from>
    <xdr:to>
      <xdr:col>17</xdr:col>
      <xdr:colOff>57149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A73597-E5BF-C68C-BDAF-124C8B79D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5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90</v>
      </c>
    </row>
    <row r="2" spans="1:6">
      <c r="A2" t="s">
        <v>24</v>
      </c>
      <c r="B2" s="10" t="s">
        <v>33</v>
      </c>
    </row>
    <row r="4" spans="1:6" ht="14.25" thickTop="1" thickBot="1">
      <c r="A4" s="7" t="s">
        <v>0</v>
      </c>
      <c r="C4" s="3">
        <v>42744.267</v>
      </c>
      <c r="D4" s="4">
        <v>4.8603899999999998</v>
      </c>
    </row>
    <row r="5" spans="1:6" ht="13.5" thickTop="1">
      <c r="A5" s="14" t="s">
        <v>34</v>
      </c>
      <c r="B5" s="15"/>
      <c r="C5" s="16">
        <v>-9.5</v>
      </c>
      <c r="D5" s="15" t="s">
        <v>35</v>
      </c>
    </row>
    <row r="6" spans="1:6">
      <c r="A6" s="7" t="s">
        <v>1</v>
      </c>
    </row>
    <row r="7" spans="1:6">
      <c r="A7" t="s">
        <v>2</v>
      </c>
      <c r="C7">
        <f>+C4</f>
        <v>42744.267</v>
      </c>
    </row>
    <row r="8" spans="1:6">
      <c r="A8" t="s">
        <v>3</v>
      </c>
      <c r="C8">
        <f>+D4</f>
        <v>4.8603899999999998</v>
      </c>
    </row>
    <row r="9" spans="1:6">
      <c r="A9" s="28" t="s">
        <v>41</v>
      </c>
      <c r="B9" s="29">
        <v>21</v>
      </c>
      <c r="C9" s="18" t="str">
        <f>"F"&amp;B9</f>
        <v>F21</v>
      </c>
      <c r="D9" s="13" t="str">
        <f>"G"&amp;B9</f>
        <v>G21</v>
      </c>
    </row>
    <row r="10" spans="1:6" ht="13.5" thickBot="1">
      <c r="A10" s="15"/>
      <c r="B10" s="15"/>
      <c r="C10" s="6" t="s">
        <v>20</v>
      </c>
      <c r="D10" s="6" t="s">
        <v>21</v>
      </c>
      <c r="E10" s="15"/>
    </row>
    <row r="11" spans="1:6">
      <c r="A11" s="15" t="s">
        <v>16</v>
      </c>
      <c r="B11" s="15"/>
      <c r="C11" s="17">
        <f ca="1">INTERCEPT(INDIRECT($D$9):G991,INDIRECT($C$9):F991)</f>
        <v>-3.8587005720815415E-3</v>
      </c>
      <c r="D11" s="5"/>
      <c r="E11" s="15"/>
    </row>
    <row r="12" spans="1:6">
      <c r="A12" s="15" t="s">
        <v>17</v>
      </c>
      <c r="B12" s="15"/>
      <c r="C12" s="17">
        <f ca="1">SLOPE(INDIRECT($D$9):G991,INDIRECT($C$9):F991)</f>
        <v>-1.1394747260428891E-4</v>
      </c>
      <c r="D12" s="5"/>
      <c r="E12" s="15"/>
    </row>
    <row r="13" spans="1:6">
      <c r="A13" s="15" t="s">
        <v>19</v>
      </c>
      <c r="B13" s="15"/>
      <c r="C13" s="5" t="s">
        <v>14</v>
      </c>
    </row>
    <row r="14" spans="1:6">
      <c r="A14" s="15"/>
      <c r="B14" s="15"/>
      <c r="C14" s="15"/>
    </row>
    <row r="15" spans="1:6">
      <c r="A15" s="19" t="s">
        <v>18</v>
      </c>
      <c r="B15" s="15"/>
      <c r="C15" s="20">
        <f ca="1">(C7+C11)+(C8+C12)*INT(MAX(F21:F3532))</f>
        <v>55473.326122868675</v>
      </c>
      <c r="E15" s="5"/>
      <c r="F15" s="15"/>
    </row>
    <row r="16" spans="1:6">
      <c r="A16" s="23" t="s">
        <v>4</v>
      </c>
      <c r="B16" s="15"/>
      <c r="C16" s="24">
        <f ca="1">+C8+C12</f>
        <v>4.8602760525273956</v>
      </c>
      <c r="E16" s="15"/>
      <c r="F16" s="15"/>
    </row>
    <row r="17" spans="1:31" ht="13.5" thickBot="1">
      <c r="A17" s="21" t="s">
        <v>32</v>
      </c>
      <c r="B17" s="15"/>
      <c r="C17" s="15">
        <f>COUNT(C21:C2190)</f>
        <v>7</v>
      </c>
      <c r="E17" s="21" t="s">
        <v>36</v>
      </c>
      <c r="F17" s="22">
        <f ca="1">TODAY()+15018.5-B5/24</f>
        <v>60329.5</v>
      </c>
    </row>
    <row r="18" spans="1:31" ht="14.25" thickTop="1" thickBot="1">
      <c r="A18" s="23" t="s">
        <v>5</v>
      </c>
      <c r="B18" s="15"/>
      <c r="C18" s="26">
        <f ca="1">+C15</f>
        <v>55473.326122868675</v>
      </c>
      <c r="D18" s="27">
        <f ca="1">+C16</f>
        <v>4.8602760525273956</v>
      </c>
      <c r="E18" s="21" t="s">
        <v>37</v>
      </c>
      <c r="F18" s="22">
        <f ca="1">ROUND(2*(F17-C15)/C16,0)/2+1</f>
        <v>1000</v>
      </c>
    </row>
    <row r="19" spans="1:31" ht="13.5" thickTop="1">
      <c r="E19" s="21" t="s">
        <v>38</v>
      </c>
      <c r="F19" s="25">
        <f ca="1">+C15+C16*F18-15018.5-C5/24</f>
        <v>45315.498008729402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35" t="s">
        <v>44</v>
      </c>
    </row>
    <row r="21" spans="1:31">
      <c r="A21" s="51" t="s">
        <v>61</v>
      </c>
      <c r="B21" s="52" t="s">
        <v>31</v>
      </c>
      <c r="C21" s="51">
        <v>38299.521999999997</v>
      </c>
      <c r="D21" s="51" t="s">
        <v>55</v>
      </c>
      <c r="E21">
        <f t="shared" ref="E21:E27" si="0">+(C21-C$7)/C$8</f>
        <v>-914.48319990782693</v>
      </c>
      <c r="F21">
        <f t="shared" ref="F21:F27" si="1">ROUND(2*E21,0)/2</f>
        <v>-914.5</v>
      </c>
      <c r="G21">
        <f>+C21-(C$7+F21*C$8)</f>
        <v>8.1654999994498212E-2</v>
      </c>
      <c r="I21">
        <f>+G21</f>
        <v>8.1654999994498212E-2</v>
      </c>
      <c r="O21">
        <f t="shared" ref="O21:O27" ca="1" si="2">+C$11+C$12*F21</f>
        <v>0.10034626312454067</v>
      </c>
      <c r="Q21" s="2">
        <f t="shared" ref="Q21:Q27" si="3">+C21-15018.5</f>
        <v>23281.021999999997</v>
      </c>
    </row>
    <row r="22" spans="1:31">
      <c r="A22" s="51" t="s">
        <v>61</v>
      </c>
      <c r="B22" s="52" t="s">
        <v>40</v>
      </c>
      <c r="C22" s="51">
        <v>38326.288</v>
      </c>
      <c r="D22" s="51" t="s">
        <v>55</v>
      </c>
      <c r="E22">
        <f t="shared" si="0"/>
        <v>-908.97623441740268</v>
      </c>
      <c r="F22">
        <f t="shared" si="1"/>
        <v>-909</v>
      </c>
      <c r="G22">
        <f>+C22-(C$7+F22*C$8)</f>
        <v>0.11551000000326894</v>
      </c>
      <c r="I22">
        <f>+G22</f>
        <v>0.11551000000326894</v>
      </c>
      <c r="O22">
        <f t="shared" ca="1" si="2"/>
        <v>9.9719552025217081E-2</v>
      </c>
      <c r="Q22" s="2">
        <f t="shared" si="3"/>
        <v>23307.788</v>
      </c>
    </row>
    <row r="23" spans="1:31">
      <c r="A23" t="s">
        <v>12</v>
      </c>
      <c r="C23" s="11">
        <v>42744.267</v>
      </c>
      <c r="D23" s="11" t="s">
        <v>14</v>
      </c>
      <c r="E23">
        <f t="shared" si="0"/>
        <v>0</v>
      </c>
      <c r="F23">
        <f t="shared" si="1"/>
        <v>0</v>
      </c>
      <c r="G23">
        <f>+C23-(C$7+F23*C$8)</f>
        <v>0</v>
      </c>
      <c r="I23" s="13">
        <f>G23</f>
        <v>0</v>
      </c>
      <c r="O23">
        <f t="shared" ca="1" si="2"/>
        <v>-3.8587005720815415E-3</v>
      </c>
      <c r="Q23" s="2">
        <f t="shared" si="3"/>
        <v>27725.767</v>
      </c>
    </row>
    <row r="24" spans="1:31">
      <c r="A24" t="s">
        <v>28</v>
      </c>
      <c r="B24" s="5" t="s">
        <v>31</v>
      </c>
      <c r="C24" s="36">
        <v>49930.402000000002</v>
      </c>
      <c r="D24" s="37">
        <v>3.0000000000000001E-3</v>
      </c>
      <c r="E24">
        <f t="shared" si="0"/>
        <v>1478.5099549624624</v>
      </c>
      <c r="F24">
        <f t="shared" si="1"/>
        <v>1478.5</v>
      </c>
      <c r="O24">
        <f t="shared" ca="1" si="2"/>
        <v>-0.17233003881752271</v>
      </c>
      <c r="Q24" s="2">
        <f t="shared" si="3"/>
        <v>34911.902000000002</v>
      </c>
      <c r="U24">
        <f>+C24-(C$7+F24*C$8)</f>
        <v>4.8385000001871958E-2</v>
      </c>
      <c r="AA24">
        <v>12</v>
      </c>
      <c r="AD24" t="s">
        <v>29</v>
      </c>
      <c r="AE24" t="s">
        <v>30</v>
      </c>
    </row>
    <row r="25" spans="1:31">
      <c r="A25" s="12" t="s">
        <v>39</v>
      </c>
      <c r="B25" s="5" t="s">
        <v>40</v>
      </c>
      <c r="C25" s="11">
        <v>53344.525699999998</v>
      </c>
      <c r="D25" s="11">
        <v>2.0000000000000001E-4</v>
      </c>
      <c r="E25">
        <f t="shared" si="0"/>
        <v>2180.9481749406937</v>
      </c>
      <c r="F25">
        <f t="shared" si="1"/>
        <v>2181</v>
      </c>
      <c r="G25">
        <f>+C25-(C$7+F25*C$8)</f>
        <v>-0.25188999999954831</v>
      </c>
      <c r="K25">
        <f>+G25</f>
        <v>-0.25188999999954831</v>
      </c>
      <c r="O25">
        <f t="shared" ca="1" si="2"/>
        <v>-0.25237813832203565</v>
      </c>
      <c r="Q25" s="2">
        <f t="shared" si="3"/>
        <v>38326.025699999998</v>
      </c>
    </row>
    <row r="26" spans="1:31">
      <c r="A26" s="30" t="s">
        <v>42</v>
      </c>
      <c r="B26" s="31" t="s">
        <v>40</v>
      </c>
      <c r="C26" s="32">
        <v>54389.484640000002</v>
      </c>
      <c r="D26" s="32">
        <v>1E-4</v>
      </c>
      <c r="E26">
        <f t="shared" si="0"/>
        <v>2395.943049837565</v>
      </c>
      <c r="F26">
        <f t="shared" si="1"/>
        <v>2396</v>
      </c>
      <c r="G26">
        <f>+C26-(C$7+F26*C$8)</f>
        <v>-0.27679999999963911</v>
      </c>
      <c r="K26">
        <f>+G26</f>
        <v>-0.27679999999963911</v>
      </c>
      <c r="O26">
        <f t="shared" ca="1" si="2"/>
        <v>-0.2768768449319578</v>
      </c>
      <c r="Q26" s="2">
        <f t="shared" si="3"/>
        <v>39370.984640000002</v>
      </c>
    </row>
    <row r="27" spans="1:31">
      <c r="A27" s="33" t="s">
        <v>43</v>
      </c>
      <c r="B27" s="33"/>
      <c r="C27" s="34">
        <v>55473.3246</v>
      </c>
      <c r="D27" s="34">
        <v>1.6999999999999999E-3</v>
      </c>
      <c r="E27">
        <f t="shared" si="0"/>
        <v>2618.9374926703413</v>
      </c>
      <c r="F27">
        <f t="shared" si="1"/>
        <v>2619</v>
      </c>
      <c r="G27">
        <f>+C27-(C$7+F27*C$8)</f>
        <v>-0.30380999999761116</v>
      </c>
      <c r="J27">
        <f>+G27</f>
        <v>-0.30380999999761116</v>
      </c>
      <c r="O27">
        <f t="shared" ca="1" si="2"/>
        <v>-0.30228713132271423</v>
      </c>
      <c r="Q27" s="2">
        <f t="shared" si="3"/>
        <v>40454.8246</v>
      </c>
    </row>
    <row r="28" spans="1:31">
      <c r="B28" s="5"/>
      <c r="C28" s="11"/>
      <c r="D28" s="11"/>
    </row>
    <row r="29" spans="1:31">
      <c r="B29" s="5"/>
      <c r="C29" s="11"/>
      <c r="D29" s="11"/>
    </row>
    <row r="30" spans="1:31">
      <c r="B30" s="5"/>
      <c r="C30" s="11"/>
      <c r="D30" s="11"/>
    </row>
    <row r="31" spans="1:31">
      <c r="C31" s="11"/>
      <c r="D31" s="11"/>
    </row>
    <row r="32" spans="1:31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2"/>
  <sheetViews>
    <sheetView workbookViewId="0">
      <selection activeCell="A14" sqref="A14:D16"/>
    </sheetView>
  </sheetViews>
  <sheetFormatPr defaultRowHeight="12.75"/>
  <cols>
    <col min="1" max="1" width="19.7109375" style="11" customWidth="1"/>
    <col min="2" max="2" width="4.42578125" style="15" customWidth="1"/>
    <col min="3" max="3" width="12.7109375" style="11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1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38" t="s">
        <v>45</v>
      </c>
      <c r="I1" s="39" t="s">
        <v>46</v>
      </c>
      <c r="J1" s="40" t="s">
        <v>47</v>
      </c>
    </row>
    <row r="2" spans="1:16">
      <c r="I2" s="41" t="s">
        <v>48</v>
      </c>
      <c r="J2" s="42" t="s">
        <v>49</v>
      </c>
    </row>
    <row r="3" spans="1:16">
      <c r="A3" s="43" t="s">
        <v>50</v>
      </c>
      <c r="I3" s="41" t="s">
        <v>51</v>
      </c>
      <c r="J3" s="42" t="s">
        <v>52</v>
      </c>
    </row>
    <row r="4" spans="1:16">
      <c r="I4" s="41" t="s">
        <v>53</v>
      </c>
      <c r="J4" s="42" t="s">
        <v>52</v>
      </c>
    </row>
    <row r="5" spans="1:16" ht="13.5" thickBot="1">
      <c r="I5" s="44" t="s">
        <v>54</v>
      </c>
      <c r="J5" s="45" t="s">
        <v>55</v>
      </c>
    </row>
    <row r="10" spans="1:16" ht="13.5" thickBot="1"/>
    <row r="11" spans="1:16" ht="12.75" customHeight="1" thickBot="1">
      <c r="A11" s="11" t="str">
        <f t="shared" ref="A11:A16" si="0">P11</f>
        <v> BBS 109 </v>
      </c>
      <c r="B11" s="5" t="str">
        <f t="shared" ref="B11:B16" si="1">IF(H11=INT(H11),"I","II")</f>
        <v>II</v>
      </c>
      <c r="C11" s="11">
        <f t="shared" ref="C11:C16" si="2">1*G11</f>
        <v>49930.402000000002</v>
      </c>
      <c r="D11" s="15" t="str">
        <f t="shared" ref="D11:D16" si="3">VLOOKUP(F11,I$1:J$5,2,FALSE)</f>
        <v>vis</v>
      </c>
      <c r="E11" s="46">
        <f>VLOOKUP(C11,Active!C$21:E$972,3,FALSE)</f>
        <v>1478.5099549624624</v>
      </c>
      <c r="F11" s="5" t="s">
        <v>54</v>
      </c>
      <c r="G11" s="15" t="str">
        <f t="shared" ref="G11:G16" si="4">MID(I11,3,LEN(I11)-3)</f>
        <v>49930.402</v>
      </c>
      <c r="H11" s="11">
        <f t="shared" ref="H11:H16" si="5">1*K11</f>
        <v>1478.5</v>
      </c>
      <c r="I11" s="47" t="s">
        <v>65</v>
      </c>
      <c r="J11" s="48" t="s">
        <v>66</v>
      </c>
      <c r="K11" s="47">
        <v>1478.5</v>
      </c>
      <c r="L11" s="47" t="s">
        <v>67</v>
      </c>
      <c r="M11" s="48" t="s">
        <v>68</v>
      </c>
      <c r="N11" s="48" t="s">
        <v>69</v>
      </c>
      <c r="O11" s="49" t="s">
        <v>70</v>
      </c>
      <c r="P11" s="49" t="s">
        <v>71</v>
      </c>
    </row>
    <row r="12" spans="1:16" ht="12.75" customHeight="1" thickBot="1">
      <c r="A12" s="11" t="str">
        <f t="shared" si="0"/>
        <v>IBVS 5745 </v>
      </c>
      <c r="B12" s="5" t="str">
        <f t="shared" si="1"/>
        <v>I</v>
      </c>
      <c r="C12" s="11">
        <f t="shared" si="2"/>
        <v>53344.525699999998</v>
      </c>
      <c r="D12" s="15" t="str">
        <f t="shared" si="3"/>
        <v>vis</v>
      </c>
      <c r="E12" s="46">
        <f>VLOOKUP(C12,Active!C$21:E$972,3,FALSE)</f>
        <v>2180.9481749406937</v>
      </c>
      <c r="F12" s="5" t="s">
        <v>54</v>
      </c>
      <c r="G12" s="15" t="str">
        <f t="shared" si="4"/>
        <v>53344.5257</v>
      </c>
      <c r="H12" s="11">
        <f t="shared" si="5"/>
        <v>2181</v>
      </c>
      <c r="I12" s="47" t="s">
        <v>72</v>
      </c>
      <c r="J12" s="48" t="s">
        <v>73</v>
      </c>
      <c r="K12" s="47">
        <v>2181</v>
      </c>
      <c r="L12" s="47" t="s">
        <v>74</v>
      </c>
      <c r="M12" s="48" t="s">
        <v>68</v>
      </c>
      <c r="N12" s="48" t="s">
        <v>69</v>
      </c>
      <c r="O12" s="49" t="s">
        <v>75</v>
      </c>
      <c r="P12" s="50" t="s">
        <v>76</v>
      </c>
    </row>
    <row r="13" spans="1:16" ht="12.75" customHeight="1" thickBot="1">
      <c r="A13" s="11" t="str">
        <f t="shared" si="0"/>
        <v>BAVM 215 </v>
      </c>
      <c r="B13" s="5" t="str">
        <f t="shared" si="1"/>
        <v>I</v>
      </c>
      <c r="C13" s="11">
        <f t="shared" si="2"/>
        <v>55473.3246</v>
      </c>
      <c r="D13" s="15" t="str">
        <f t="shared" si="3"/>
        <v>vis</v>
      </c>
      <c r="E13" s="46">
        <f>VLOOKUP(C13,Active!C$21:E$972,3,FALSE)</f>
        <v>2618.9374926703413</v>
      </c>
      <c r="F13" s="5" t="s">
        <v>54</v>
      </c>
      <c r="G13" s="15" t="str">
        <f t="shared" si="4"/>
        <v>55473.3246</v>
      </c>
      <c r="H13" s="11">
        <f t="shared" si="5"/>
        <v>2619</v>
      </c>
      <c r="I13" s="47" t="s">
        <v>84</v>
      </c>
      <c r="J13" s="48" t="s">
        <v>85</v>
      </c>
      <c r="K13" s="47">
        <v>2619</v>
      </c>
      <c r="L13" s="47" t="s">
        <v>86</v>
      </c>
      <c r="M13" s="48" t="s">
        <v>80</v>
      </c>
      <c r="N13" s="48" t="s">
        <v>87</v>
      </c>
      <c r="O13" s="49" t="s">
        <v>88</v>
      </c>
      <c r="P13" s="50" t="s">
        <v>89</v>
      </c>
    </row>
    <row r="14" spans="1:16" ht="12.75" customHeight="1" thickBot="1">
      <c r="A14" s="11" t="str">
        <f t="shared" si="0"/>
        <v> PZP 2.237 </v>
      </c>
      <c r="B14" s="5" t="str">
        <f t="shared" si="1"/>
        <v>II</v>
      </c>
      <c r="C14" s="11">
        <f t="shared" si="2"/>
        <v>38299.521999999997</v>
      </c>
      <c r="D14" s="15" t="str">
        <f t="shared" si="3"/>
        <v>vis</v>
      </c>
      <c r="E14" s="46">
        <f>VLOOKUP(C14,Active!C$21:E$972,3,FALSE)</f>
        <v>-914.48319990782693</v>
      </c>
      <c r="F14" s="5" t="s">
        <v>54</v>
      </c>
      <c r="G14" s="15" t="str">
        <f t="shared" si="4"/>
        <v>38299.522</v>
      </c>
      <c r="H14" s="11">
        <f t="shared" si="5"/>
        <v>-914.5</v>
      </c>
      <c r="I14" s="47" t="s">
        <v>56</v>
      </c>
      <c r="J14" s="48" t="s">
        <v>57</v>
      </c>
      <c r="K14" s="47">
        <v>-914.5</v>
      </c>
      <c r="L14" s="47" t="s">
        <v>58</v>
      </c>
      <c r="M14" s="48" t="s">
        <v>59</v>
      </c>
      <c r="N14" s="48"/>
      <c r="O14" s="49" t="s">
        <v>60</v>
      </c>
      <c r="P14" s="49" t="s">
        <v>61</v>
      </c>
    </row>
    <row r="15" spans="1:16" ht="12.75" customHeight="1" thickBot="1">
      <c r="A15" s="11" t="str">
        <f t="shared" si="0"/>
        <v> PZP 2.237 </v>
      </c>
      <c r="B15" s="5" t="str">
        <f t="shared" si="1"/>
        <v>I</v>
      </c>
      <c r="C15" s="11">
        <f t="shared" si="2"/>
        <v>38326.288</v>
      </c>
      <c r="D15" s="15" t="str">
        <f t="shared" si="3"/>
        <v>vis</v>
      </c>
      <c r="E15" s="46">
        <f>VLOOKUP(C15,Active!C$21:E$972,3,FALSE)</f>
        <v>-908.97623441740268</v>
      </c>
      <c r="F15" s="5" t="s">
        <v>54</v>
      </c>
      <c r="G15" s="15" t="str">
        <f t="shared" si="4"/>
        <v>38326.288</v>
      </c>
      <c r="H15" s="11">
        <f t="shared" si="5"/>
        <v>-909</v>
      </c>
      <c r="I15" s="47" t="s">
        <v>62</v>
      </c>
      <c r="J15" s="48" t="s">
        <v>63</v>
      </c>
      <c r="K15" s="47">
        <v>-909</v>
      </c>
      <c r="L15" s="47" t="s">
        <v>64</v>
      </c>
      <c r="M15" s="48" t="s">
        <v>59</v>
      </c>
      <c r="N15" s="48"/>
      <c r="O15" s="49" t="s">
        <v>60</v>
      </c>
      <c r="P15" s="49" t="s">
        <v>61</v>
      </c>
    </row>
    <row r="16" spans="1:16" ht="12.75" customHeight="1" thickBot="1">
      <c r="A16" s="11" t="str">
        <f t="shared" si="0"/>
        <v>OEJV 0107 </v>
      </c>
      <c r="B16" s="5" t="str">
        <f t="shared" si="1"/>
        <v>I</v>
      </c>
      <c r="C16" s="11">
        <f t="shared" si="2"/>
        <v>54389.484600000003</v>
      </c>
      <c r="D16" s="15" t="str">
        <f t="shared" si="3"/>
        <v>vis</v>
      </c>
      <c r="E16" s="46" t="e">
        <f>VLOOKUP(C16,Active!C$21:E$972,3,FALSE)</f>
        <v>#N/A</v>
      </c>
      <c r="F16" s="5" t="s">
        <v>54</v>
      </c>
      <c r="G16" s="15" t="str">
        <f t="shared" si="4"/>
        <v>54389.4846</v>
      </c>
      <c r="H16" s="11">
        <f t="shared" si="5"/>
        <v>2396</v>
      </c>
      <c r="I16" s="47" t="s">
        <v>77</v>
      </c>
      <c r="J16" s="48" t="s">
        <v>78</v>
      </c>
      <c r="K16" s="47">
        <v>2396</v>
      </c>
      <c r="L16" s="47" t="s">
        <v>79</v>
      </c>
      <c r="M16" s="48" t="s">
        <v>80</v>
      </c>
      <c r="N16" s="48" t="s">
        <v>81</v>
      </c>
      <c r="O16" s="49" t="s">
        <v>82</v>
      </c>
      <c r="P16" s="50" t="s">
        <v>83</v>
      </c>
    </row>
    <row r="17" spans="2:6">
      <c r="B17" s="5"/>
      <c r="F17" s="5"/>
    </row>
    <row r="18" spans="2:6">
      <c r="B18" s="5"/>
      <c r="F18" s="5"/>
    </row>
    <row r="19" spans="2:6">
      <c r="B19" s="5"/>
      <c r="F19" s="5"/>
    </row>
    <row r="20" spans="2:6">
      <c r="B20" s="5"/>
      <c r="F20" s="5"/>
    </row>
    <row r="21" spans="2:6">
      <c r="B21" s="5"/>
      <c r="F21" s="5"/>
    </row>
    <row r="22" spans="2:6">
      <c r="B22" s="5"/>
      <c r="F22" s="5"/>
    </row>
    <row r="23" spans="2:6">
      <c r="B23" s="5"/>
      <c r="F23" s="5"/>
    </row>
    <row r="24" spans="2:6">
      <c r="B24" s="5"/>
      <c r="F24" s="5"/>
    </row>
    <row r="25" spans="2:6">
      <c r="B25" s="5"/>
      <c r="F25" s="5"/>
    </row>
    <row r="26" spans="2:6">
      <c r="B26" s="5"/>
      <c r="F26" s="5"/>
    </row>
    <row r="27" spans="2:6">
      <c r="B27" s="5"/>
      <c r="F27" s="5"/>
    </row>
    <row r="28" spans="2:6">
      <c r="B28" s="5"/>
      <c r="F28" s="5"/>
    </row>
    <row r="29" spans="2:6">
      <c r="B29" s="5"/>
      <c r="F29" s="5"/>
    </row>
    <row r="30" spans="2:6">
      <c r="B30" s="5"/>
      <c r="F30" s="5"/>
    </row>
    <row r="31" spans="2:6">
      <c r="B31" s="5"/>
      <c r="F31" s="5"/>
    </row>
    <row r="32" spans="2: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</sheetData>
  <phoneticPr fontId="7" type="noConversion"/>
  <hyperlinks>
    <hyperlink ref="P12" r:id="rId1" display="http://www.konkoly.hu/cgi-bin/IBVS?5745"/>
    <hyperlink ref="P16" r:id="rId2" display="http://var.astro.cz/oejv/issues/oejv0107.pdf"/>
    <hyperlink ref="P13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2024-01-20T03:35:43Z</dcterms:modified>
</cp:coreProperties>
</file>