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CA154F5-37CA-4C37-8377-825F23B850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D9" i="1"/>
  <c r="C9" i="1"/>
  <c r="Q21" i="1"/>
  <c r="Q22" i="1"/>
  <c r="Q24" i="1"/>
  <c r="Q25" i="1"/>
  <c r="Q26" i="1"/>
  <c r="G12" i="2"/>
  <c r="C12" i="2"/>
  <c r="G20" i="2"/>
  <c r="C20" i="2"/>
  <c r="E20" i="2"/>
  <c r="G19" i="2"/>
  <c r="C19" i="2"/>
  <c r="E19" i="2"/>
  <c r="G18" i="2"/>
  <c r="C18" i="2"/>
  <c r="E18" i="2"/>
  <c r="G17" i="2"/>
  <c r="C17" i="2"/>
  <c r="G16" i="2"/>
  <c r="C16" i="2"/>
  <c r="G15" i="2"/>
  <c r="C15" i="2"/>
  <c r="G11" i="2"/>
  <c r="C11" i="2"/>
  <c r="G14" i="2"/>
  <c r="C14" i="2"/>
  <c r="G13" i="2"/>
  <c r="C13" i="2"/>
  <c r="H12" i="2"/>
  <c r="D12" i="2"/>
  <c r="B12" i="2"/>
  <c r="A12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1" i="2"/>
  <c r="B11" i="2"/>
  <c r="D11" i="2"/>
  <c r="A11" i="2"/>
  <c r="H14" i="2"/>
  <c r="D14" i="2"/>
  <c r="B14" i="2"/>
  <c r="A14" i="2"/>
  <c r="H13" i="2"/>
  <c r="B13" i="2"/>
  <c r="D13" i="2"/>
  <c r="A13" i="2"/>
  <c r="Q30" i="1"/>
  <c r="Q27" i="1"/>
  <c r="Q28" i="1"/>
  <c r="Q29" i="1"/>
  <c r="E27" i="1"/>
  <c r="F27" i="1"/>
  <c r="G27" i="1" s="1"/>
  <c r="K27" i="1" s="1"/>
  <c r="F17" i="1"/>
  <c r="C17" i="1"/>
  <c r="Q23" i="1"/>
  <c r="E16" i="2"/>
  <c r="E30" i="1"/>
  <c r="E12" i="2" s="1"/>
  <c r="E25" i="1"/>
  <c r="F25" i="1"/>
  <c r="G25" i="1"/>
  <c r="H25" i="1" s="1"/>
  <c r="E23" i="1"/>
  <c r="F23" i="1"/>
  <c r="G23" i="1" s="1"/>
  <c r="H23" i="1" s="1"/>
  <c r="E21" i="1"/>
  <c r="F21" i="1" s="1"/>
  <c r="G21" i="1" s="1"/>
  <c r="H21" i="1" s="1"/>
  <c r="E28" i="1"/>
  <c r="F28" i="1"/>
  <c r="G28" i="1" s="1"/>
  <c r="K28" i="1" s="1"/>
  <c r="E24" i="1"/>
  <c r="E15" i="2" s="1"/>
  <c r="E26" i="1"/>
  <c r="E17" i="2" s="1"/>
  <c r="E22" i="1"/>
  <c r="E14" i="2" s="1"/>
  <c r="F22" i="1"/>
  <c r="G22" i="1" s="1"/>
  <c r="H22" i="1" s="1"/>
  <c r="E29" i="1"/>
  <c r="F29" i="1"/>
  <c r="G29" i="1"/>
  <c r="K29" i="1" s="1"/>
  <c r="E11" i="2"/>
  <c r="F26" i="1" l="1"/>
  <c r="G26" i="1" s="1"/>
  <c r="H26" i="1" s="1"/>
  <c r="F24" i="1"/>
  <c r="G24" i="1" s="1"/>
  <c r="E13" i="2"/>
  <c r="F30" i="1"/>
  <c r="G30" i="1" s="1"/>
  <c r="K30" i="1" s="1"/>
  <c r="C11" i="1"/>
  <c r="C12" i="1"/>
  <c r="O31" i="1" l="1"/>
  <c r="C16" i="1"/>
  <c r="D18" i="1" s="1"/>
  <c r="O26" i="1"/>
  <c r="O25" i="1"/>
  <c r="O23" i="1"/>
  <c r="O30" i="1"/>
  <c r="C15" i="1"/>
  <c r="O24" i="1"/>
  <c r="O21" i="1"/>
  <c r="O22" i="1"/>
  <c r="O27" i="1"/>
  <c r="O29" i="1"/>
  <c r="O28" i="1"/>
  <c r="H24" i="1"/>
  <c r="F18" i="1" l="1"/>
  <c r="F19" i="1" s="1"/>
  <c r="C18" i="1"/>
</calcChain>
</file>

<file path=xl/sharedStrings.xml><?xml version="1.0" encoding="utf-8"?>
<sst xmlns="http://schemas.openxmlformats.org/spreadsheetml/2006/main" count="158" uniqueCount="91">
  <si>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</si>
  <si>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</si>
  <si>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</si>
  <si>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</si>
  <si>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</si>
  <si>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</si>
  <si>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</si>
  <si>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</si>
  <si>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</si>
  <si>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</si>
  <si>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</si>
  <si>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</si>
  <si>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</si>
  <si>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</si>
  <si>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</si>
  <si>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</si>
  <si>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</si>
  <si>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</si>
  <si>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</si>
  <si>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</si>
  <si>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</si>
  <si>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</si>
  <si>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</si>
  <si>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</si>
  <si>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</si>
  <si>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</si>
  <si>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</si>
  <si>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</si>
  <si>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</si>
  <si>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</si>
  <si>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</si>
  <si>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</si>
  <si>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</si>
  <si>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</si>
  <si>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</si>
  <si>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0094</t>
  </si>
  <si>
    <t>I</t>
  </si>
  <si>
    <t>EA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</si>
  <si>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</si>
  <si>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</si>
  <si>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</si>
  <si>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</si>
  <si>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</si>
  <si>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</si>
  <si>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</si>
  <si>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</si>
  <si>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</si>
  <si>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</si>
  <si>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</si>
  <si>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</si>
  <si>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2441236.641 </t>
  </si>
  <si>
    <t> 12.10.1971 03:23 </t>
  </si>
  <si>
    <t> -0.000 </t>
  </si>
  <si>
    <t>E </t>
  </si>
  <si>
    <t>?</t>
  </si>
  <si>
    <t> Frazier &amp; Hall </t>
  </si>
  <si>
    <t> PASP 86.667 </t>
  </si>
  <si>
    <t>2441296.705 </t>
  </si>
  <si>
    <t> 11.12.1971 04:55 </t>
  </si>
  <si>
    <t>2441357.560 </t>
  </si>
  <si>
    <t> 10.02.1972 01:26 </t>
  </si>
  <si>
    <t> 0.000 </t>
  </si>
  <si>
    <t>2441601.769 </t>
  </si>
  <si>
    <t> 11.10.1972 06:27 </t>
  </si>
  <si>
    <t>2441654.720 </t>
  </si>
  <si>
    <t> 03.12.1972 05:16 </t>
  </si>
  <si>
    <t>2448190.615 </t>
  </si>
  <si>
    <t> 26.10.1990 02:45 </t>
  </si>
  <si>
    <t> -0.052 </t>
  </si>
  <si>
    <t> A.F.Goss </t>
  </si>
  <si>
    <t> IAPP 53.26 </t>
  </si>
  <si>
    <t>2454508.4227 </t>
  </si>
  <si>
    <t> 11.02.2008 22:08 </t>
  </si>
  <si>
    <t> -0.0621 </t>
  </si>
  <si>
    <t>C </t>
  </si>
  <si>
    <t> H.Kucáková </t>
  </si>
  <si>
    <t>OEJV 0094 </t>
  </si>
  <si>
    <t>2454508.4230 </t>
  </si>
  <si>
    <t> 11.02.2008 22:09 </t>
  </si>
  <si>
    <t> -0.0618 </t>
  </si>
  <si>
    <t>2454508.4235 </t>
  </si>
  <si>
    <t> -0.0613 </t>
  </si>
  <si>
    <t>R</t>
  </si>
  <si>
    <t>2456592.4832 </t>
  </si>
  <si>
    <t> 26.10.2013 23:35 </t>
  </si>
  <si>
    <t> -0.0754 </t>
  </si>
  <si>
    <t> F.Agerer </t>
  </si>
  <si>
    <t>BAVM 234 </t>
  </si>
  <si>
    <t>II</t>
  </si>
  <si>
    <t>V0559 Cas / GSC 4046-0698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</si>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</sst>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1" applyNumberFormat="0" applyFont="0" applyFill="0" applyAlignment="0" applyProtection="0"/>
  </cellStyleXfs>
  <cellXfs count="5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5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0" fontId="15" fillId="2" borderId="11" xfId="7" applyFill="1" applyBorder="1" applyAlignment="1" applyProtection="1">
      <alignment horizontal="right" vertical="top" wrapText="1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/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V0559 Cas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2.0999999999999999E-3</c:v>
                  </c:pt>
                  <c:pt idx="10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2.0999999999999999E-3</c:v>
                  </c:pt>
                  <c:pt idx="1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-76.5</c:v>
                </c:pt>
                <c:pt idx="1">
                  <c:v>-38.5</c:v>
                </c:pt>
                <c:pt idx="2">
                  <c:v>0</c:v>
                </c:pt>
                <c:pt idx="3">
                  <c:v>154.5</c:v>
                </c:pt>
                <c:pt idx="4">
                  <c:v>188</c:v>
                </c:pt>
                <c:pt idx="5">
                  <c:v>4323</c:v>
                </c:pt>
                <c:pt idx="6">
                  <c:v>8320</c:v>
                </c:pt>
                <c:pt idx="7">
                  <c:v>8320</c:v>
                </c:pt>
                <c:pt idx="8">
                  <c:v>8320</c:v>
                </c:pt>
                <c:pt idx="9">
                  <c:v>9638.5</c:v>
                </c:pt>
                <c:pt idx="10">
                  <c:v>11548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-3.9999991713557392E-5</c:v>
                </c:pt>
                <c:pt idx="1">
                  <c:v>-3.5999999818159267E-4</c:v>
                </c:pt>
                <c:pt idx="2">
                  <c:v>0</c:v>
                </c:pt>
                <c:pt idx="3">
                  <c:v>1.2000000424450263E-4</c:v>
                </c:pt>
                <c:pt idx="4">
                  <c:v>-3.1999999919207767E-4</c:v>
                </c:pt>
                <c:pt idx="5">
                  <c:v>-5.1719999995839316E-2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61-40E8-AD32-0D240992F67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2.0999999999999999E-3</c:v>
                  </c:pt>
                  <c:pt idx="10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2.0999999999999999E-3</c:v>
                  </c:pt>
                  <c:pt idx="1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-76.5</c:v>
                </c:pt>
                <c:pt idx="1">
                  <c:v>-38.5</c:v>
                </c:pt>
                <c:pt idx="2">
                  <c:v>0</c:v>
                </c:pt>
                <c:pt idx="3">
                  <c:v>154.5</c:v>
                </c:pt>
                <c:pt idx="4">
                  <c:v>188</c:v>
                </c:pt>
                <c:pt idx="5">
                  <c:v>4323</c:v>
                </c:pt>
                <c:pt idx="6">
                  <c:v>8320</c:v>
                </c:pt>
                <c:pt idx="7">
                  <c:v>8320</c:v>
                </c:pt>
                <c:pt idx="8">
                  <c:v>8320</c:v>
                </c:pt>
                <c:pt idx="9">
                  <c:v>9638.5</c:v>
                </c:pt>
                <c:pt idx="10">
                  <c:v>11548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61-40E8-AD32-0D240992F67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2.0999999999999999E-3</c:v>
                  </c:pt>
                  <c:pt idx="10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2.0999999999999999E-3</c:v>
                  </c:pt>
                  <c:pt idx="1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-76.5</c:v>
                </c:pt>
                <c:pt idx="1">
                  <c:v>-38.5</c:v>
                </c:pt>
                <c:pt idx="2">
                  <c:v>0</c:v>
                </c:pt>
                <c:pt idx="3">
                  <c:v>154.5</c:v>
                </c:pt>
                <c:pt idx="4">
                  <c:v>188</c:v>
                </c:pt>
                <c:pt idx="5">
                  <c:v>4323</c:v>
                </c:pt>
                <c:pt idx="6">
                  <c:v>8320</c:v>
                </c:pt>
                <c:pt idx="7">
                  <c:v>8320</c:v>
                </c:pt>
                <c:pt idx="8">
                  <c:v>8320</c:v>
                </c:pt>
                <c:pt idx="9">
                  <c:v>9638.5</c:v>
                </c:pt>
                <c:pt idx="10">
                  <c:v>11548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61-40E8-AD32-0D240992F67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2.0999999999999999E-3</c:v>
                  </c:pt>
                  <c:pt idx="10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2.0999999999999999E-3</c:v>
                  </c:pt>
                  <c:pt idx="1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-76.5</c:v>
                </c:pt>
                <c:pt idx="1">
                  <c:v>-38.5</c:v>
                </c:pt>
                <c:pt idx="2">
                  <c:v>0</c:v>
                </c:pt>
                <c:pt idx="3">
                  <c:v>154.5</c:v>
                </c:pt>
                <c:pt idx="4">
                  <c:v>188</c:v>
                </c:pt>
                <c:pt idx="5">
                  <c:v>4323</c:v>
                </c:pt>
                <c:pt idx="6">
                  <c:v>8320</c:v>
                </c:pt>
                <c:pt idx="7">
                  <c:v>8320</c:v>
                </c:pt>
                <c:pt idx="8">
                  <c:v>8320</c:v>
                </c:pt>
                <c:pt idx="9">
                  <c:v>9638.5</c:v>
                </c:pt>
                <c:pt idx="10">
                  <c:v>11548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-6.205000000045402E-2</c:v>
                </c:pt>
                <c:pt idx="7">
                  <c:v>-6.17500000007567E-2</c:v>
                </c:pt>
                <c:pt idx="8">
                  <c:v>-6.1239999995450489E-2</c:v>
                </c:pt>
                <c:pt idx="9">
                  <c:v>-7.543999999325024E-2</c:v>
                </c:pt>
                <c:pt idx="10">
                  <c:v>-7.9219999999622814E-2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61-40E8-AD32-0D240992F67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2.0999999999999999E-3</c:v>
                  </c:pt>
                  <c:pt idx="10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2.0999999999999999E-3</c:v>
                  </c:pt>
                  <c:pt idx="1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-76.5</c:v>
                </c:pt>
                <c:pt idx="1">
                  <c:v>-38.5</c:v>
                </c:pt>
                <c:pt idx="2">
                  <c:v>0</c:v>
                </c:pt>
                <c:pt idx="3">
                  <c:v>154.5</c:v>
                </c:pt>
                <c:pt idx="4">
                  <c:v>188</c:v>
                </c:pt>
                <c:pt idx="5">
                  <c:v>4323</c:v>
                </c:pt>
                <c:pt idx="6">
                  <c:v>8320</c:v>
                </c:pt>
                <c:pt idx="7">
                  <c:v>8320</c:v>
                </c:pt>
                <c:pt idx="8">
                  <c:v>8320</c:v>
                </c:pt>
                <c:pt idx="9">
                  <c:v>9638.5</c:v>
                </c:pt>
                <c:pt idx="10">
                  <c:v>11548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61-40E8-AD32-0D240992F67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2.0999999999999999E-3</c:v>
                  </c:pt>
                  <c:pt idx="10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2.0999999999999999E-3</c:v>
                  </c:pt>
                  <c:pt idx="1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-76.5</c:v>
                </c:pt>
                <c:pt idx="1">
                  <c:v>-38.5</c:v>
                </c:pt>
                <c:pt idx="2">
                  <c:v>0</c:v>
                </c:pt>
                <c:pt idx="3">
                  <c:v>154.5</c:v>
                </c:pt>
                <c:pt idx="4">
                  <c:v>188</c:v>
                </c:pt>
                <c:pt idx="5">
                  <c:v>4323</c:v>
                </c:pt>
                <c:pt idx="6">
                  <c:v>8320</c:v>
                </c:pt>
                <c:pt idx="7">
                  <c:v>8320</c:v>
                </c:pt>
                <c:pt idx="8">
                  <c:v>8320</c:v>
                </c:pt>
                <c:pt idx="9">
                  <c:v>9638.5</c:v>
                </c:pt>
                <c:pt idx="10">
                  <c:v>11548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61-40E8-AD32-0D240992F67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2.0999999999999999E-3</c:v>
                  </c:pt>
                  <c:pt idx="10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2.0999999999999999E-3</c:v>
                  </c:pt>
                  <c:pt idx="10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-76.5</c:v>
                </c:pt>
                <c:pt idx="1">
                  <c:v>-38.5</c:v>
                </c:pt>
                <c:pt idx="2">
                  <c:v>0</c:v>
                </c:pt>
                <c:pt idx="3">
                  <c:v>154.5</c:v>
                </c:pt>
                <c:pt idx="4">
                  <c:v>188</c:v>
                </c:pt>
                <c:pt idx="5">
                  <c:v>4323</c:v>
                </c:pt>
                <c:pt idx="6">
                  <c:v>8320</c:v>
                </c:pt>
                <c:pt idx="7">
                  <c:v>8320</c:v>
                </c:pt>
                <c:pt idx="8">
                  <c:v>8320</c:v>
                </c:pt>
                <c:pt idx="9">
                  <c:v>9638.5</c:v>
                </c:pt>
                <c:pt idx="10">
                  <c:v>11548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61-40E8-AD32-0D240992F67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-76.5</c:v>
                </c:pt>
                <c:pt idx="1">
                  <c:v>-38.5</c:v>
                </c:pt>
                <c:pt idx="2">
                  <c:v>0</c:v>
                </c:pt>
                <c:pt idx="3">
                  <c:v>154.5</c:v>
                </c:pt>
                <c:pt idx="4">
                  <c:v>188</c:v>
                </c:pt>
                <c:pt idx="5">
                  <c:v>4323</c:v>
                </c:pt>
                <c:pt idx="6">
                  <c:v>8320</c:v>
                </c:pt>
                <c:pt idx="7">
                  <c:v>8320</c:v>
                </c:pt>
                <c:pt idx="8">
                  <c:v>8320</c:v>
                </c:pt>
                <c:pt idx="9">
                  <c:v>9638.5</c:v>
                </c:pt>
                <c:pt idx="10">
                  <c:v>11548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-1.4467661013122367E-3</c:v>
                </c:pt>
                <c:pt idx="1">
                  <c:v>-1.7240735853973326E-3</c:v>
                </c:pt>
                <c:pt idx="2">
                  <c:v>-2.0050298521677584E-3</c:v>
                </c:pt>
                <c:pt idx="3">
                  <c:v>-3.1325037019347924E-3</c:v>
                </c:pt>
                <c:pt idx="4">
                  <c:v>-3.3769721418519163E-3</c:v>
                </c:pt>
                <c:pt idx="5">
                  <c:v>-3.3552404949532724E-2</c:v>
                </c:pt>
                <c:pt idx="6">
                  <c:v>-6.2720773736062385E-2</c:v>
                </c:pt>
                <c:pt idx="7">
                  <c:v>-6.2720773736062385E-2</c:v>
                </c:pt>
                <c:pt idx="8">
                  <c:v>-6.2720773736062385E-2</c:v>
                </c:pt>
                <c:pt idx="9">
                  <c:v>-7.234261367727815E-2</c:v>
                </c:pt>
                <c:pt idx="10">
                  <c:v>-8.6277314752554207E-2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61-40E8-AD32-0D240992F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752752"/>
        <c:axId val="1"/>
      </c:scatterChart>
      <c:valAx>
        <c:axId val="62775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752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276225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3477730-E4B4-7442-5CB7-62844DDCE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94.pdf" TargetMode="External"/><Relationship Id="rId2" Type="http://schemas.openxmlformats.org/officeDocument/2006/relationships/hyperlink" Target="http://var.astro.cz/oejv/issues/oejv0094.pdf" TargetMode="External"/><Relationship Id="rId1" Type="http://schemas.openxmlformats.org/officeDocument/2006/relationships/hyperlink" Target="http://var.astro.cz/oejv/issues/oejv0094.pdf" TargetMode="External"/><Relationship Id="rId4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6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51" t="s">
        <v>89</v>
      </c>
    </row>
    <row r="2" spans="1:6" x14ac:dyDescent="0.2">
      <c r="A2" t="s">
        <v>24</v>
      </c>
      <c r="B2" t="s">
        <v>37</v>
      </c>
      <c r="C2" s="2"/>
      <c r="D2" s="2"/>
    </row>
    <row r="3" spans="1:6" ht="13.5" thickBot="1" x14ac:dyDescent="0.25"/>
    <row r="4" spans="1:6" ht="14.25" thickTop="1" thickBot="1" x14ac:dyDescent="0.25">
      <c r="A4" s="4" t="s">
        <v>0</v>
      </c>
      <c r="C4" s="7">
        <v>41357.56</v>
      </c>
      <c r="D4" s="8">
        <v>1.58064</v>
      </c>
    </row>
    <row r="5" spans="1:6" ht="13.5" thickTop="1" x14ac:dyDescent="0.2">
      <c r="A5" s="10" t="s">
        <v>29</v>
      </c>
      <c r="B5" s="11"/>
      <c r="C5" s="12">
        <v>-9.5</v>
      </c>
      <c r="D5" s="11" t="s">
        <v>30</v>
      </c>
    </row>
    <row r="6" spans="1:6" x14ac:dyDescent="0.2">
      <c r="A6" s="4" t="s">
        <v>1</v>
      </c>
    </row>
    <row r="7" spans="1:6" x14ac:dyDescent="0.2">
      <c r="A7" t="s">
        <v>2</v>
      </c>
      <c r="C7">
        <v>41357.56</v>
      </c>
    </row>
    <row r="8" spans="1:6" x14ac:dyDescent="0.2">
      <c r="A8" t="s">
        <v>3</v>
      </c>
      <c r="C8">
        <v>1.58064</v>
      </c>
    </row>
    <row r="9" spans="1:6" x14ac:dyDescent="0.2">
      <c r="A9" s="25" t="s">
        <v>34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6" x14ac:dyDescent="0.2">
      <c r="A11" s="11" t="s">
        <v>16</v>
      </c>
      <c r="B11" s="11"/>
      <c r="C11" s="22">
        <f ca="1">INTERCEPT(INDIRECT($D$9):G992,INDIRECT($C$9):F992)</f>
        <v>-2.0050298521677584E-3</v>
      </c>
      <c r="D11" s="2"/>
      <c r="E11" s="11"/>
    </row>
    <row r="12" spans="1:6" x14ac:dyDescent="0.2">
      <c r="A12" s="11" t="s">
        <v>17</v>
      </c>
      <c r="B12" s="11"/>
      <c r="C12" s="22">
        <f ca="1">SLOPE(INDIRECT($D$9):G992,INDIRECT($C$9):F992)</f>
        <v>-7.2975653706604127E-6</v>
      </c>
      <c r="D12" s="2"/>
      <c r="E12" s="11"/>
    </row>
    <row r="13" spans="1:6" x14ac:dyDescent="0.2">
      <c r="A13" s="11" t="s">
        <v>19</v>
      </c>
      <c r="B13" s="11"/>
      <c r="C13" s="2" t="s">
        <v>14</v>
      </c>
    </row>
    <row r="14" spans="1:6" x14ac:dyDescent="0.2">
      <c r="A14" s="11"/>
      <c r="B14" s="11"/>
      <c r="C14" s="11"/>
    </row>
    <row r="15" spans="1:6" x14ac:dyDescent="0.2">
      <c r="A15" s="13" t="s">
        <v>18</v>
      </c>
      <c r="B15" s="11"/>
      <c r="C15" s="14">
        <f ca="1">(C7+C11)+(C8+C12)*INT(MAX(F21:F3533))</f>
        <v>59610.704442685237</v>
      </c>
      <c r="E15" s="2"/>
      <c r="F15" s="11"/>
    </row>
    <row r="16" spans="1:6" x14ac:dyDescent="0.2">
      <c r="A16" s="17" t="s">
        <v>4</v>
      </c>
      <c r="B16" s="11"/>
      <c r="C16" s="18">
        <f ca="1">+C8+C12</f>
        <v>1.5806327024346294</v>
      </c>
      <c r="E16" s="11"/>
      <c r="F16" s="11"/>
    </row>
    <row r="17" spans="1:17" ht="13.5" thickBot="1" x14ac:dyDescent="0.25">
      <c r="A17" s="15" t="s">
        <v>28</v>
      </c>
      <c r="B17" s="11"/>
      <c r="C17" s="11">
        <f>COUNT(C21:C2191)</f>
        <v>11</v>
      </c>
      <c r="E17" s="15" t="s">
        <v>31</v>
      </c>
      <c r="F17" s="16">
        <f ca="1">TODAY()+15018.5-B5/24</f>
        <v>60329.5</v>
      </c>
    </row>
    <row r="18" spans="1:17" ht="14.25" thickTop="1" thickBot="1" x14ac:dyDescent="0.25">
      <c r="A18" s="17" t="s">
        <v>5</v>
      </c>
      <c r="B18" s="11"/>
      <c r="C18" s="20">
        <f ca="1">+C15</f>
        <v>59610.704442685237</v>
      </c>
      <c r="D18" s="21">
        <f ca="1">+C16</f>
        <v>1.5806327024346294</v>
      </c>
      <c r="E18" s="15" t="s">
        <v>32</v>
      </c>
      <c r="F18" s="16">
        <f ca="1">ROUND(2*(F17-C15)/C16,0)/2+1</f>
        <v>456</v>
      </c>
    </row>
    <row r="19" spans="1:17" ht="13.5" thickTop="1" x14ac:dyDescent="0.2">
      <c r="E19" s="15" t="s">
        <v>33</v>
      </c>
      <c r="F19" s="19">
        <f ca="1">+C15+C16*F18-15018.5-C5/24</f>
        <v>45313.368788328764</v>
      </c>
    </row>
    <row r="20" spans="1:17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46</v>
      </c>
      <c r="I20" s="6" t="s">
        <v>49</v>
      </c>
      <c r="J20" s="6" t="s">
        <v>43</v>
      </c>
      <c r="K20" s="6" t="s">
        <v>41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</row>
    <row r="21" spans="1:17" x14ac:dyDescent="0.2">
      <c r="A21" s="46" t="s">
        <v>56</v>
      </c>
      <c r="B21" s="48" t="s">
        <v>88</v>
      </c>
      <c r="C21" s="47">
        <v>41236.641000000003</v>
      </c>
      <c r="D21" s="47" t="s">
        <v>49</v>
      </c>
      <c r="E21">
        <f t="shared" ref="E21:E30" si="0">+(C21-C$7)/C$8</f>
        <v>-76.50002530620155</v>
      </c>
      <c r="F21">
        <f t="shared" ref="F21:F30" si="1">ROUND(2*E21,0)/2</f>
        <v>-76.5</v>
      </c>
      <c r="G21">
        <f t="shared" ref="G21:G30" si="2">+C21-(C$7+F21*C$8)</f>
        <v>-3.9999991713557392E-5</v>
      </c>
      <c r="H21">
        <f t="shared" ref="H21:H26" si="3">+G21</f>
        <v>-3.9999991713557392E-5</v>
      </c>
      <c r="O21">
        <f t="shared" ref="O21:O30" ca="1" si="4">+C$11+C$12*$F21</f>
        <v>-1.4467661013122367E-3</v>
      </c>
      <c r="Q21" s="1">
        <f t="shared" ref="Q21:Q30" si="5">+C21-15018.5</f>
        <v>26218.141000000003</v>
      </c>
    </row>
    <row r="22" spans="1:17" x14ac:dyDescent="0.2">
      <c r="A22" s="46" t="s">
        <v>56</v>
      </c>
      <c r="B22" s="48" t="s">
        <v>88</v>
      </c>
      <c r="C22" s="47">
        <v>41296.705000000002</v>
      </c>
      <c r="D22" s="47" t="s">
        <v>49</v>
      </c>
      <c r="E22">
        <f t="shared" si="0"/>
        <v>-38.500227755843156</v>
      </c>
      <c r="F22">
        <f t="shared" si="1"/>
        <v>-38.5</v>
      </c>
      <c r="G22">
        <f t="shared" si="2"/>
        <v>-3.5999999818159267E-4</v>
      </c>
      <c r="H22">
        <f t="shared" si="3"/>
        <v>-3.5999999818159267E-4</v>
      </c>
      <c r="O22">
        <f t="shared" ca="1" si="4"/>
        <v>-1.7240735853973326E-3</v>
      </c>
      <c r="Q22" s="1">
        <f t="shared" si="5"/>
        <v>26278.205000000002</v>
      </c>
    </row>
    <row r="23" spans="1:17" x14ac:dyDescent="0.2">
      <c r="A23" t="s">
        <v>12</v>
      </c>
      <c r="C23" s="9">
        <v>41357.56</v>
      </c>
      <c r="D23" s="9" t="s">
        <v>14</v>
      </c>
      <c r="E23">
        <f t="shared" si="0"/>
        <v>0</v>
      </c>
      <c r="F23">
        <f t="shared" si="1"/>
        <v>0</v>
      </c>
      <c r="G23">
        <f t="shared" si="2"/>
        <v>0</v>
      </c>
      <c r="H23">
        <f t="shared" si="3"/>
        <v>0</v>
      </c>
      <c r="O23">
        <f t="shared" ca="1" si="4"/>
        <v>-2.0050298521677584E-3</v>
      </c>
      <c r="Q23" s="1">
        <f t="shared" si="5"/>
        <v>26339.059999999998</v>
      </c>
    </row>
    <row r="24" spans="1:17" x14ac:dyDescent="0.2">
      <c r="A24" s="46" t="s">
        <v>56</v>
      </c>
      <c r="B24" s="48" t="s">
        <v>88</v>
      </c>
      <c r="C24" s="47">
        <v>41601.769</v>
      </c>
      <c r="D24" s="47" t="s">
        <v>49</v>
      </c>
      <c r="E24">
        <f t="shared" si="0"/>
        <v>154.50007591861686</v>
      </c>
      <c r="F24">
        <f t="shared" si="1"/>
        <v>154.5</v>
      </c>
      <c r="G24">
        <f t="shared" si="2"/>
        <v>1.2000000424450263E-4</v>
      </c>
      <c r="H24">
        <f t="shared" si="3"/>
        <v>1.2000000424450263E-4</v>
      </c>
      <c r="O24">
        <f t="shared" ca="1" si="4"/>
        <v>-3.1325037019347924E-3</v>
      </c>
      <c r="Q24" s="1">
        <f t="shared" si="5"/>
        <v>26583.269</v>
      </c>
    </row>
    <row r="25" spans="1:17" x14ac:dyDescent="0.2">
      <c r="A25" s="46" t="s">
        <v>56</v>
      </c>
      <c r="B25" s="48" t="s">
        <v>36</v>
      </c>
      <c r="C25" s="47">
        <v>41654.720000000001</v>
      </c>
      <c r="D25" s="47" t="s">
        <v>49</v>
      </c>
      <c r="E25">
        <f t="shared" si="0"/>
        <v>187.99979755036156</v>
      </c>
      <c r="F25">
        <f t="shared" si="1"/>
        <v>188</v>
      </c>
      <c r="G25">
        <f t="shared" si="2"/>
        <v>-3.1999999919207767E-4</v>
      </c>
      <c r="H25">
        <f t="shared" si="3"/>
        <v>-3.1999999919207767E-4</v>
      </c>
      <c r="O25">
        <f t="shared" ca="1" si="4"/>
        <v>-3.3769721418519163E-3</v>
      </c>
      <c r="Q25" s="1">
        <f t="shared" si="5"/>
        <v>26636.22</v>
      </c>
    </row>
    <row r="26" spans="1:17" x14ac:dyDescent="0.2">
      <c r="A26" s="46" t="s">
        <v>70</v>
      </c>
      <c r="B26" s="48" t="s">
        <v>36</v>
      </c>
      <c r="C26" s="47">
        <v>48190.614999999998</v>
      </c>
      <c r="D26" s="47" t="s">
        <v>49</v>
      </c>
      <c r="E26">
        <f t="shared" si="0"/>
        <v>4322.96727907683</v>
      </c>
      <c r="F26">
        <f t="shared" si="1"/>
        <v>4323</v>
      </c>
      <c r="G26">
        <f t="shared" si="2"/>
        <v>-5.1719999995839316E-2</v>
      </c>
      <c r="H26">
        <f t="shared" si="3"/>
        <v>-5.1719999995839316E-2</v>
      </c>
      <c r="O26">
        <f t="shared" ca="1" si="4"/>
        <v>-3.3552404949532724E-2</v>
      </c>
      <c r="Q26" s="1">
        <f t="shared" si="5"/>
        <v>33172.114999999998</v>
      </c>
    </row>
    <row r="27" spans="1:17" ht="12" customHeight="1" x14ac:dyDescent="0.2">
      <c r="A27" s="27" t="s">
        <v>35</v>
      </c>
      <c r="B27" s="28" t="s">
        <v>36</v>
      </c>
      <c r="C27" s="27">
        <v>54508.422749999998</v>
      </c>
      <c r="D27" s="27">
        <v>4.0000000000000002E-4</v>
      </c>
      <c r="E27">
        <f t="shared" si="0"/>
        <v>8319.9607437493669</v>
      </c>
      <c r="F27">
        <f t="shared" si="1"/>
        <v>8320</v>
      </c>
      <c r="G27">
        <f t="shared" si="2"/>
        <v>-6.205000000045402E-2</v>
      </c>
      <c r="K27">
        <f>+G27</f>
        <v>-6.205000000045402E-2</v>
      </c>
      <c r="O27">
        <f t="shared" ca="1" si="4"/>
        <v>-6.2720773736062385E-2</v>
      </c>
      <c r="Q27" s="1">
        <f t="shared" si="5"/>
        <v>39489.922749999998</v>
      </c>
    </row>
    <row r="28" spans="1:17" ht="12" customHeight="1" x14ac:dyDescent="0.2">
      <c r="A28" s="27" t="s">
        <v>35</v>
      </c>
      <c r="B28" s="28" t="s">
        <v>36</v>
      </c>
      <c r="C28" s="27">
        <v>54508.423049999998</v>
      </c>
      <c r="D28" s="27">
        <v>4.0000000000000002E-4</v>
      </c>
      <c r="E28">
        <f t="shared" si="0"/>
        <v>8319.9609335459045</v>
      </c>
      <c r="F28">
        <f t="shared" si="1"/>
        <v>8320</v>
      </c>
      <c r="G28">
        <f t="shared" si="2"/>
        <v>-6.17500000007567E-2</v>
      </c>
      <c r="K28">
        <f>+G28</f>
        <v>-6.17500000007567E-2</v>
      </c>
      <c r="O28">
        <f t="shared" ca="1" si="4"/>
        <v>-6.2720773736062385E-2</v>
      </c>
      <c r="Q28" s="1">
        <f t="shared" si="5"/>
        <v>39489.923049999998</v>
      </c>
    </row>
    <row r="29" spans="1:17" ht="12" customHeight="1" x14ac:dyDescent="0.2">
      <c r="A29" s="27" t="s">
        <v>35</v>
      </c>
      <c r="B29" s="28" t="s">
        <v>36</v>
      </c>
      <c r="C29" s="27">
        <v>54508.423560000003</v>
      </c>
      <c r="D29" s="27">
        <v>5.0000000000000001E-4</v>
      </c>
      <c r="E29">
        <f t="shared" si="0"/>
        <v>8319.9612562000239</v>
      </c>
      <c r="F29">
        <f t="shared" si="1"/>
        <v>8320</v>
      </c>
      <c r="G29">
        <f t="shared" si="2"/>
        <v>-6.1239999995450489E-2</v>
      </c>
      <c r="K29">
        <f>+G29</f>
        <v>-6.1239999995450489E-2</v>
      </c>
      <c r="O29">
        <f t="shared" ca="1" si="4"/>
        <v>-6.2720773736062385E-2</v>
      </c>
      <c r="Q29" s="1">
        <f t="shared" si="5"/>
        <v>39489.923560000003</v>
      </c>
    </row>
    <row r="30" spans="1:17" ht="12" customHeight="1" x14ac:dyDescent="0.2">
      <c r="A30" s="29" t="s">
        <v>38</v>
      </c>
      <c r="B30" s="30" t="s">
        <v>36</v>
      </c>
      <c r="C30" s="31">
        <v>56592.483200000002</v>
      </c>
      <c r="D30" s="32">
        <v>2.0999999999999999E-3</v>
      </c>
      <c r="E30">
        <f t="shared" si="0"/>
        <v>9638.4522724972194</v>
      </c>
      <c r="F30">
        <f t="shared" si="1"/>
        <v>9638.5</v>
      </c>
      <c r="G30">
        <f t="shared" si="2"/>
        <v>-7.543999999325024E-2</v>
      </c>
      <c r="K30">
        <f>+G30</f>
        <v>-7.543999999325024E-2</v>
      </c>
      <c r="O30">
        <f t="shared" ca="1" si="4"/>
        <v>-7.234261367727815E-2</v>
      </c>
      <c r="Q30" s="1">
        <f t="shared" si="5"/>
        <v>41573.983200000002</v>
      </c>
    </row>
    <row r="31" spans="1:17" ht="12" customHeight="1" x14ac:dyDescent="0.2">
      <c r="A31" s="49" t="s">
        <v>90</v>
      </c>
      <c r="B31" s="50" t="s">
        <v>36</v>
      </c>
      <c r="C31" s="52">
        <v>59610.711499999998</v>
      </c>
      <c r="D31" s="53">
        <v>1.6000000000000001E-3</v>
      </c>
      <c r="E31">
        <f t="shared" ref="E31" si="6">+(C31-C$7)/C$8</f>
        <v>11547.949881060837</v>
      </c>
      <c r="F31">
        <f t="shared" ref="F31" si="7">ROUND(2*E31,0)/2</f>
        <v>11548</v>
      </c>
      <c r="G31">
        <f t="shared" ref="G31" si="8">+C31-(C$7+F31*C$8)</f>
        <v>-7.9219999999622814E-2</v>
      </c>
      <c r="K31">
        <f>+G31</f>
        <v>-7.9219999999622814E-2</v>
      </c>
      <c r="O31">
        <f t="shared" ref="O31" ca="1" si="9">+C$11+C$12*$F31</f>
        <v>-8.6277314752554207E-2</v>
      </c>
      <c r="Q31" s="1">
        <f t="shared" ref="Q31" si="10">+C31-15018.5</f>
        <v>44592.211499999998</v>
      </c>
    </row>
    <row r="32" spans="1:17" ht="12" customHeight="1" x14ac:dyDescent="0.2">
      <c r="A32" s="46"/>
      <c r="B32" s="48"/>
      <c r="C32" s="47"/>
      <c r="D32" s="47"/>
      <c r="Q32" s="1"/>
    </row>
    <row r="33" spans="1:17" ht="12" customHeight="1" x14ac:dyDescent="0.2">
      <c r="A33" s="46"/>
      <c r="B33" s="48"/>
      <c r="C33" s="47"/>
      <c r="D33" s="47"/>
      <c r="Q33" s="1"/>
    </row>
    <row r="34" spans="1:17" ht="12" customHeight="1" x14ac:dyDescent="0.2">
      <c r="C34" s="9"/>
      <c r="D34" s="9"/>
    </row>
    <row r="35" spans="1:17" ht="12" customHeight="1" x14ac:dyDescent="0.2">
      <c r="C35" s="9"/>
      <c r="D35" s="9"/>
    </row>
    <row r="36" spans="1:17" ht="12" customHeight="1" x14ac:dyDescent="0.2">
      <c r="C36" s="9"/>
      <c r="D36" s="9"/>
    </row>
    <row r="37" spans="1:17" ht="12" customHeight="1" x14ac:dyDescent="0.2">
      <c r="C37" s="9"/>
      <c r="D37" s="9"/>
    </row>
    <row r="38" spans="1:17" x14ac:dyDescent="0.2">
      <c r="C38" s="9"/>
      <c r="D38" s="9"/>
    </row>
    <row r="39" spans="1:17" x14ac:dyDescent="0.2">
      <c r="C39" s="9"/>
      <c r="D39" s="9"/>
    </row>
    <row r="40" spans="1:17" x14ac:dyDescent="0.2">
      <c r="C40" s="9"/>
      <c r="D40" s="9"/>
    </row>
    <row r="41" spans="1:17" x14ac:dyDescent="0.2">
      <c r="C41" s="9"/>
      <c r="D41" s="9"/>
    </row>
    <row r="42" spans="1:17" x14ac:dyDescent="0.2">
      <c r="C42" s="9"/>
      <c r="D42" s="9"/>
    </row>
    <row r="43" spans="1:17" x14ac:dyDescent="0.2">
      <c r="C43" s="9"/>
      <c r="D43" s="9"/>
    </row>
    <row r="44" spans="1:17" x14ac:dyDescent="0.2">
      <c r="C44" s="9"/>
      <c r="D44" s="9"/>
    </row>
    <row r="45" spans="1:17" x14ac:dyDescent="0.2">
      <c r="C45" s="9"/>
      <c r="D45" s="9"/>
    </row>
    <row r="46" spans="1:17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2"/>
  <sheetViews>
    <sheetView workbookViewId="0">
      <selection activeCell="A13" sqref="A13:D20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3" t="s">
        <v>39</v>
      </c>
      <c r="I1" s="34" t="s">
        <v>40</v>
      </c>
      <c r="J1" s="35" t="s">
        <v>41</v>
      </c>
    </row>
    <row r="2" spans="1:16" x14ac:dyDescent="0.2">
      <c r="I2" s="36" t="s">
        <v>42</v>
      </c>
      <c r="J2" s="37" t="s">
        <v>43</v>
      </c>
    </row>
    <row r="3" spans="1:16" x14ac:dyDescent="0.2">
      <c r="A3" s="38" t="s">
        <v>44</v>
      </c>
      <c r="I3" s="36" t="s">
        <v>45</v>
      </c>
      <c r="J3" s="37" t="s">
        <v>46</v>
      </c>
    </row>
    <row r="4" spans="1:16" x14ac:dyDescent="0.2">
      <c r="I4" s="36" t="s">
        <v>47</v>
      </c>
      <c r="J4" s="37" t="s">
        <v>46</v>
      </c>
    </row>
    <row r="5" spans="1:16" ht="13.5" thickBot="1" x14ac:dyDescent="0.25">
      <c r="I5" s="39" t="s">
        <v>48</v>
      </c>
      <c r="J5" s="40" t="s">
        <v>49</v>
      </c>
    </row>
    <row r="10" spans="1:16" ht="13.5" thickBot="1" x14ac:dyDescent="0.25"/>
    <row r="11" spans="1:16" ht="12.75" customHeight="1" thickBot="1" x14ac:dyDescent="0.25">
      <c r="A11" s="9" t="str">
        <f t="shared" ref="A11:A20" si="0">P11</f>
        <v> PASP 86.667 </v>
      </c>
      <c r="B11" s="2" t="str">
        <f t="shared" ref="B11:B20" si="1">IF(H11=INT(H11),"I","II")</f>
        <v>I</v>
      </c>
      <c r="C11" s="9">
        <f t="shared" ref="C11:C20" si="2">1*G11</f>
        <v>41357.56</v>
      </c>
      <c r="D11" s="11" t="str">
        <f t="shared" ref="D11:D20" si="3">VLOOKUP(F11,I$1:J$5,2,FALSE)</f>
        <v>vis</v>
      </c>
      <c r="E11" s="41">
        <f>VLOOKUP(C11,Active!C$21:E$973,3,FALSE)</f>
        <v>0</v>
      </c>
      <c r="F11" s="2" t="s">
        <v>48</v>
      </c>
      <c r="G11" s="11" t="str">
        <f t="shared" ref="G11:G20" si="4">MID(I11,3,LEN(I11)-3)</f>
        <v>41357.560</v>
      </c>
      <c r="H11" s="9">
        <f t="shared" ref="H11:H20" si="5">1*K11</f>
        <v>0</v>
      </c>
      <c r="I11" s="42" t="s">
        <v>59</v>
      </c>
      <c r="J11" s="43" t="s">
        <v>60</v>
      </c>
      <c r="K11" s="42">
        <v>0</v>
      </c>
      <c r="L11" s="42" t="s">
        <v>61</v>
      </c>
      <c r="M11" s="43" t="s">
        <v>53</v>
      </c>
      <c r="N11" s="43" t="s">
        <v>54</v>
      </c>
      <c r="O11" s="44" t="s">
        <v>55</v>
      </c>
      <c r="P11" s="44" t="s">
        <v>56</v>
      </c>
    </row>
    <row r="12" spans="1:16" ht="12.75" customHeight="1" thickBot="1" x14ac:dyDescent="0.25">
      <c r="A12" s="9" t="str">
        <f t="shared" si="0"/>
        <v>BAVM 234 </v>
      </c>
      <c r="B12" s="2" t="str">
        <f t="shared" si="1"/>
        <v>II</v>
      </c>
      <c r="C12" s="9">
        <f t="shared" si="2"/>
        <v>56592.483200000002</v>
      </c>
      <c r="D12" s="11" t="str">
        <f t="shared" si="3"/>
        <v>vis</v>
      </c>
      <c r="E12" s="41">
        <f>VLOOKUP(C12,Active!C$21:E$973,3,FALSE)</f>
        <v>9638.4522724972194</v>
      </c>
      <c r="F12" s="2" t="s">
        <v>48</v>
      </c>
      <c r="G12" s="11" t="str">
        <f t="shared" si="4"/>
        <v>56592.4832</v>
      </c>
      <c r="H12" s="9">
        <f t="shared" si="5"/>
        <v>9638.5</v>
      </c>
      <c r="I12" s="42" t="s">
        <v>83</v>
      </c>
      <c r="J12" s="43" t="s">
        <v>84</v>
      </c>
      <c r="K12" s="42">
        <v>9638.5</v>
      </c>
      <c r="L12" s="42" t="s">
        <v>85</v>
      </c>
      <c r="M12" s="43" t="s">
        <v>74</v>
      </c>
      <c r="N12" s="43">
        <v>0</v>
      </c>
      <c r="O12" s="44" t="s">
        <v>86</v>
      </c>
      <c r="P12" s="45" t="s">
        <v>87</v>
      </c>
    </row>
    <row r="13" spans="1:16" ht="12.75" customHeight="1" thickBot="1" x14ac:dyDescent="0.25">
      <c r="A13" s="9" t="str">
        <f t="shared" si="0"/>
        <v> PASP 86.667 </v>
      </c>
      <c r="B13" s="2" t="str">
        <f t="shared" si="1"/>
        <v>II</v>
      </c>
      <c r="C13" s="9">
        <f t="shared" si="2"/>
        <v>41236.641000000003</v>
      </c>
      <c r="D13" s="11" t="str">
        <f t="shared" si="3"/>
        <v>vis</v>
      </c>
      <c r="E13" s="41">
        <f>VLOOKUP(C13,Active!C$21:E$973,3,FALSE)</f>
        <v>-76.50002530620155</v>
      </c>
      <c r="F13" s="2" t="s">
        <v>48</v>
      </c>
      <c r="G13" s="11" t="str">
        <f t="shared" si="4"/>
        <v>41236.641</v>
      </c>
      <c r="H13" s="9">
        <f t="shared" si="5"/>
        <v>-76.5</v>
      </c>
      <c r="I13" s="42" t="s">
        <v>50</v>
      </c>
      <c r="J13" s="43" t="s">
        <v>51</v>
      </c>
      <c r="K13" s="42">
        <v>-76.5</v>
      </c>
      <c r="L13" s="42" t="s">
        <v>52</v>
      </c>
      <c r="M13" s="43" t="s">
        <v>53</v>
      </c>
      <c r="N13" s="43" t="s">
        <v>54</v>
      </c>
      <c r="O13" s="44" t="s">
        <v>55</v>
      </c>
      <c r="P13" s="44" t="s">
        <v>56</v>
      </c>
    </row>
    <row r="14" spans="1:16" ht="12.75" customHeight="1" thickBot="1" x14ac:dyDescent="0.25">
      <c r="A14" s="9" t="str">
        <f t="shared" si="0"/>
        <v> PASP 86.667 </v>
      </c>
      <c r="B14" s="2" t="str">
        <f t="shared" si="1"/>
        <v>II</v>
      </c>
      <c r="C14" s="9">
        <f t="shared" si="2"/>
        <v>41296.705000000002</v>
      </c>
      <c r="D14" s="11" t="str">
        <f t="shared" si="3"/>
        <v>vis</v>
      </c>
      <c r="E14" s="41">
        <f>VLOOKUP(C14,Active!C$21:E$973,3,FALSE)</f>
        <v>-38.500227755843156</v>
      </c>
      <c r="F14" s="2" t="s">
        <v>48</v>
      </c>
      <c r="G14" s="11" t="str">
        <f t="shared" si="4"/>
        <v>41296.705</v>
      </c>
      <c r="H14" s="9">
        <f t="shared" si="5"/>
        <v>-38.5</v>
      </c>
      <c r="I14" s="42" t="s">
        <v>57</v>
      </c>
      <c r="J14" s="43" t="s">
        <v>58</v>
      </c>
      <c r="K14" s="42">
        <v>-38.5</v>
      </c>
      <c r="L14" s="42" t="s">
        <v>52</v>
      </c>
      <c r="M14" s="43" t="s">
        <v>53</v>
      </c>
      <c r="N14" s="43" t="s">
        <v>54</v>
      </c>
      <c r="O14" s="44" t="s">
        <v>55</v>
      </c>
      <c r="P14" s="44" t="s">
        <v>56</v>
      </c>
    </row>
    <row r="15" spans="1:16" ht="12.75" customHeight="1" thickBot="1" x14ac:dyDescent="0.25">
      <c r="A15" s="9" t="str">
        <f t="shared" si="0"/>
        <v> PASP 86.667 </v>
      </c>
      <c r="B15" s="2" t="str">
        <f t="shared" si="1"/>
        <v>II</v>
      </c>
      <c r="C15" s="9">
        <f t="shared" si="2"/>
        <v>41601.769</v>
      </c>
      <c r="D15" s="11" t="str">
        <f t="shared" si="3"/>
        <v>vis</v>
      </c>
      <c r="E15" s="41">
        <f>VLOOKUP(C15,Active!C$21:E$973,3,FALSE)</f>
        <v>154.50007591861686</v>
      </c>
      <c r="F15" s="2" t="s">
        <v>48</v>
      </c>
      <c r="G15" s="11" t="str">
        <f t="shared" si="4"/>
        <v>41601.769</v>
      </c>
      <c r="H15" s="9">
        <f t="shared" si="5"/>
        <v>154.5</v>
      </c>
      <c r="I15" s="42" t="s">
        <v>62</v>
      </c>
      <c r="J15" s="43" t="s">
        <v>63</v>
      </c>
      <c r="K15" s="42">
        <v>154.5</v>
      </c>
      <c r="L15" s="42" t="s">
        <v>61</v>
      </c>
      <c r="M15" s="43" t="s">
        <v>53</v>
      </c>
      <c r="N15" s="43" t="s">
        <v>54</v>
      </c>
      <c r="O15" s="44" t="s">
        <v>55</v>
      </c>
      <c r="P15" s="44" t="s">
        <v>56</v>
      </c>
    </row>
    <row r="16" spans="1:16" ht="12.75" customHeight="1" thickBot="1" x14ac:dyDescent="0.25">
      <c r="A16" s="9" t="str">
        <f t="shared" si="0"/>
        <v> PASP 86.667 </v>
      </c>
      <c r="B16" s="2" t="str">
        <f t="shared" si="1"/>
        <v>I</v>
      </c>
      <c r="C16" s="9">
        <f t="shared" si="2"/>
        <v>41654.720000000001</v>
      </c>
      <c r="D16" s="11" t="str">
        <f t="shared" si="3"/>
        <v>vis</v>
      </c>
      <c r="E16" s="41">
        <f>VLOOKUP(C16,Active!C$21:E$973,3,FALSE)</f>
        <v>187.99979755036156</v>
      </c>
      <c r="F16" s="2" t="s">
        <v>48</v>
      </c>
      <c r="G16" s="11" t="str">
        <f t="shared" si="4"/>
        <v>41654.720</v>
      </c>
      <c r="H16" s="9">
        <f t="shared" si="5"/>
        <v>188</v>
      </c>
      <c r="I16" s="42" t="s">
        <v>64</v>
      </c>
      <c r="J16" s="43" t="s">
        <v>65</v>
      </c>
      <c r="K16" s="42">
        <v>188</v>
      </c>
      <c r="L16" s="42" t="s">
        <v>52</v>
      </c>
      <c r="M16" s="43" t="s">
        <v>53</v>
      </c>
      <c r="N16" s="43" t="s">
        <v>54</v>
      </c>
      <c r="O16" s="44" t="s">
        <v>55</v>
      </c>
      <c r="P16" s="44" t="s">
        <v>56</v>
      </c>
    </row>
    <row r="17" spans="1:16" ht="12.75" customHeight="1" thickBot="1" x14ac:dyDescent="0.25">
      <c r="A17" s="9" t="str">
        <f t="shared" si="0"/>
        <v> IAPP 53.26 </v>
      </c>
      <c r="B17" s="2" t="str">
        <f t="shared" si="1"/>
        <v>I</v>
      </c>
      <c r="C17" s="9">
        <f t="shared" si="2"/>
        <v>48190.614999999998</v>
      </c>
      <c r="D17" s="11" t="str">
        <f t="shared" si="3"/>
        <v>vis</v>
      </c>
      <c r="E17" s="41">
        <f>VLOOKUP(C17,Active!C$21:E$973,3,FALSE)</f>
        <v>4322.96727907683</v>
      </c>
      <c r="F17" s="2" t="s">
        <v>48</v>
      </c>
      <c r="G17" s="11" t="str">
        <f t="shared" si="4"/>
        <v>48190.615</v>
      </c>
      <c r="H17" s="9">
        <f t="shared" si="5"/>
        <v>4323</v>
      </c>
      <c r="I17" s="42" t="s">
        <v>66</v>
      </c>
      <c r="J17" s="43" t="s">
        <v>67</v>
      </c>
      <c r="K17" s="42">
        <v>4323</v>
      </c>
      <c r="L17" s="42" t="s">
        <v>68</v>
      </c>
      <c r="M17" s="43" t="s">
        <v>53</v>
      </c>
      <c r="N17" s="43" t="s">
        <v>54</v>
      </c>
      <c r="O17" s="44" t="s">
        <v>69</v>
      </c>
      <c r="P17" s="44" t="s">
        <v>70</v>
      </c>
    </row>
    <row r="18" spans="1:16" ht="12.75" customHeight="1" thickBot="1" x14ac:dyDescent="0.25">
      <c r="A18" s="9" t="str">
        <f t="shared" si="0"/>
        <v>OEJV 0094 </v>
      </c>
      <c r="B18" s="2" t="str">
        <f t="shared" si="1"/>
        <v>I</v>
      </c>
      <c r="C18" s="9">
        <f t="shared" si="2"/>
        <v>54508.422700000003</v>
      </c>
      <c r="D18" s="11" t="str">
        <f t="shared" si="3"/>
        <v>vis</v>
      </c>
      <c r="E18" s="41" t="e">
        <f>VLOOKUP(C18,Active!C$21:E$973,3,FALSE)</f>
        <v>#N/A</v>
      </c>
      <c r="F18" s="2" t="s">
        <v>48</v>
      </c>
      <c r="G18" s="11" t="str">
        <f t="shared" si="4"/>
        <v>54508.4227</v>
      </c>
      <c r="H18" s="9">
        <f t="shared" si="5"/>
        <v>8320</v>
      </c>
      <c r="I18" s="42" t="s">
        <v>71</v>
      </c>
      <c r="J18" s="43" t="s">
        <v>72</v>
      </c>
      <c r="K18" s="42">
        <v>8320</v>
      </c>
      <c r="L18" s="42" t="s">
        <v>73</v>
      </c>
      <c r="M18" s="43" t="s">
        <v>74</v>
      </c>
      <c r="N18" s="43" t="s">
        <v>48</v>
      </c>
      <c r="O18" s="44" t="s">
        <v>75</v>
      </c>
      <c r="P18" s="45" t="s">
        <v>76</v>
      </c>
    </row>
    <row r="19" spans="1:16" ht="12.75" customHeight="1" thickBot="1" x14ac:dyDescent="0.25">
      <c r="A19" s="9" t="str">
        <f t="shared" si="0"/>
        <v>OEJV 0094 </v>
      </c>
      <c r="B19" s="2" t="str">
        <f t="shared" si="1"/>
        <v>I</v>
      </c>
      <c r="C19" s="9">
        <f t="shared" si="2"/>
        <v>54508.423000000003</v>
      </c>
      <c r="D19" s="11" t="str">
        <f t="shared" si="3"/>
        <v>vis</v>
      </c>
      <c r="E19" s="41" t="e">
        <f>VLOOKUP(C19,Active!C$21:E$973,3,FALSE)</f>
        <v>#N/A</v>
      </c>
      <c r="F19" s="2" t="s">
        <v>48</v>
      </c>
      <c r="G19" s="11" t="str">
        <f t="shared" si="4"/>
        <v>54508.4230</v>
      </c>
      <c r="H19" s="9">
        <f t="shared" si="5"/>
        <v>8320</v>
      </c>
      <c r="I19" s="42" t="s">
        <v>77</v>
      </c>
      <c r="J19" s="43" t="s">
        <v>78</v>
      </c>
      <c r="K19" s="42">
        <v>8320</v>
      </c>
      <c r="L19" s="42" t="s">
        <v>79</v>
      </c>
      <c r="M19" s="43" t="s">
        <v>74</v>
      </c>
      <c r="N19" s="43" t="s">
        <v>36</v>
      </c>
      <c r="O19" s="44" t="s">
        <v>75</v>
      </c>
      <c r="P19" s="45" t="s">
        <v>76</v>
      </c>
    </row>
    <row r="20" spans="1:16" ht="12.75" customHeight="1" thickBot="1" x14ac:dyDescent="0.25">
      <c r="A20" s="9" t="str">
        <f t="shared" si="0"/>
        <v>OEJV 0094 </v>
      </c>
      <c r="B20" s="2" t="str">
        <f t="shared" si="1"/>
        <v>I</v>
      </c>
      <c r="C20" s="9">
        <f t="shared" si="2"/>
        <v>54508.423499999997</v>
      </c>
      <c r="D20" s="11" t="str">
        <f t="shared" si="3"/>
        <v>vis</v>
      </c>
      <c r="E20" s="41" t="e">
        <f>VLOOKUP(C20,Active!C$21:E$973,3,FALSE)</f>
        <v>#N/A</v>
      </c>
      <c r="F20" s="2" t="s">
        <v>48</v>
      </c>
      <c r="G20" s="11" t="str">
        <f t="shared" si="4"/>
        <v>54508.4235</v>
      </c>
      <c r="H20" s="9">
        <f t="shared" si="5"/>
        <v>8320</v>
      </c>
      <c r="I20" s="42" t="s">
        <v>80</v>
      </c>
      <c r="J20" s="43" t="s">
        <v>78</v>
      </c>
      <c r="K20" s="42">
        <v>8320</v>
      </c>
      <c r="L20" s="42" t="s">
        <v>81</v>
      </c>
      <c r="M20" s="43" t="s">
        <v>74</v>
      </c>
      <c r="N20" s="43" t="s">
        <v>82</v>
      </c>
      <c r="O20" s="44" t="s">
        <v>75</v>
      </c>
      <c r="P20" s="45" t="s">
        <v>76</v>
      </c>
    </row>
    <row r="21" spans="1:16" x14ac:dyDescent="0.2">
      <c r="B21" s="2"/>
      <c r="F21" s="2"/>
    </row>
    <row r="22" spans="1:16" x14ac:dyDescent="0.2">
      <c r="B22" s="2"/>
      <c r="F22" s="2"/>
    </row>
    <row r="23" spans="1:16" x14ac:dyDescent="0.2">
      <c r="B23" s="2"/>
      <c r="F23" s="2"/>
    </row>
    <row r="24" spans="1:16" x14ac:dyDescent="0.2">
      <c r="B24" s="2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</sheetData>
  <phoneticPr fontId="6" type="noConversion"/>
  <hyperlinks>
    <hyperlink ref="P18" r:id="rId1" display="http://var.astro.cz/oejv/issues/oejv0094.pdf" xr:uid="{00000000-0004-0000-0100-000000000000}"/>
    <hyperlink ref="P19" r:id="rId2" display="http://var.astro.cz/oejv/issues/oejv0094.pdf" xr:uid="{00000000-0004-0000-0100-000001000000}"/>
    <hyperlink ref="P20" r:id="rId3" display="http://var.astro.cz/oejv/issues/oejv0094.pdf" xr:uid="{00000000-0004-0000-0100-000002000000}"/>
    <hyperlink ref="P12" r:id="rId4" display="http://www.bav-astro.de/sfs/BAVM_link.php?BAVMnr=234" xr:uid="{00000000-0004-0000-01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2024-01-20T03:40:00Z</dcterms:modified>
</cp:coreProperties>
</file>