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C7A54A-4791-4EFD-A6D2-470DB9EBA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F14" i="1"/>
  <c r="K25" i="1"/>
  <c r="G25" i="1"/>
  <c r="E25" i="1"/>
  <c r="F25" i="1" s="1"/>
  <c r="Q25" i="1"/>
  <c r="E24" i="1"/>
  <c r="F24" i="1"/>
  <c r="U24" i="1"/>
  <c r="D9" i="1"/>
  <c r="C9" i="1"/>
  <c r="Q24" i="1"/>
  <c r="E23" i="1"/>
  <c r="F23" i="1"/>
  <c r="G23" i="1"/>
  <c r="K23" i="1"/>
  <c r="Q23" i="1"/>
  <c r="E22" i="1"/>
  <c r="F22" i="1"/>
  <c r="G22" i="1"/>
  <c r="K22" i="1"/>
  <c r="C21" i="1"/>
  <c r="E21" i="1"/>
  <c r="F21" i="1"/>
  <c r="Q22" i="1"/>
  <c r="A21" i="1"/>
  <c r="C17" i="1"/>
  <c r="Q21" i="1"/>
  <c r="G21" i="1"/>
  <c r="I21" i="1"/>
  <c r="C12" i="1"/>
  <c r="C11" i="1"/>
  <c r="O26" i="1" l="1"/>
  <c r="F15" i="1"/>
  <c r="O25" i="1"/>
  <c r="C15" i="1"/>
  <c r="O22" i="1"/>
  <c r="O21" i="1"/>
  <c r="O24" i="1"/>
  <c r="O2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<sst xmlns="http://schemas.openxmlformats.org/spreadsheetml/2006/main" count="68" uniqueCount="57">
  <si>
    <t>PE</t>
  </si>
  <si>
    <t>IBVS 6193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</si>
  <si>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</si>
  <si>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</si>
  <si>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</si>
  <si>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</si>
  <si>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</si>
  <si>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</si>
  <si>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</si>
  <si>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</si>
  <si>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</si>
  <si>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</si>
  <si>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</si>
  <si>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</si>
  <si>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</si>
  <si>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</si>
  <si>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</si>
  <si>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</si>
  <si>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</si>
  <si>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</si>
  <si>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</si>
  <si>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</si>
  <si>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</si>
  <si>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</si>
  <si>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</si>
  <si>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</si>
  <si>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</si>
  <si>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</si>
  <si>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</si>
  <si>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</si>
  <si>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</si>
  <si>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</si>
  <si>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</si>
  <si>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</si>
  <si>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</si>
  <si>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</si>
  <si>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</si>
  <si>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</si>
  <si>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</si>
  <si>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</si>
  <si>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V0744 Cas</t>
  </si>
  <si>
    <t>V0744 Cas / GSC 3653-0855</t>
  </si>
  <si>
    <t>EA</t>
  </si>
  <si>
    <t>VSX</t>
  </si>
  <si>
    <t>OEJV 0160</t>
  </si>
  <si>
    <t>I</t>
  </si>
  <si>
    <t>G3653-0855</t>
  </si>
  <si>
    <t>vis</t>
  </si>
  <si>
    <t>OEJV 0205</t>
  </si>
  <si>
    <t>II</t>
  </si>
  <si>
    <t>BAD?</t>
  </si>
  <si>
    <t>JBAV, 60</t>
  </si>
  <si>
    <t>JAAVSO52#1</t>
  </si>
  <si>
    <t>Next ToM-P</t>
  </si>
  <si>
    <t>Next ToM-S</t>
  </si>
  <si>
    <t>8.44-8.70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</si>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</sst>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0" fontId="0" fillId="0" borderId="11" xfId="0" applyBorder="1">
      <alignment vertical="top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5" fillId="24" borderId="12" xfId="0" applyFont="1" applyFill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" fillId="24" borderId="13" xfId="0" applyFont="1" applyFill="1" applyBorder="1" applyAlignment="1">
      <alignment horizontal="center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V0744 Cas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D-4C77-B36E-BB02EC5B3A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D-4C77-B36E-BB02EC5B3A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1D-4C77-B36E-BB02EC5B3A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-0.10631000000284985</c:v>
                </c:pt>
                <c:pt idx="2">
                  <c:v>-0.1256000000066706</c:v>
                </c:pt>
                <c:pt idx="4">
                  <c:v>-0.18849999999656575</c:v>
                </c:pt>
                <c:pt idx="5">
                  <c:v>-0.19989999999961583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1D-4C77-B36E-BB02EC5B3A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1D-4C77-B36E-BB02EC5B3A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1D-4C77-B36E-BB02EC5B3A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1D-4C77-B36E-BB02EC5B3A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5.9738798871703247E-3</c:v>
                </c:pt>
                <c:pt idx="1">
                  <c:v>-0.11962803242816553</c:v>
                </c:pt>
                <c:pt idx="2">
                  <c:v>-0.13006089730575346</c:v>
                </c:pt>
                <c:pt idx="3">
                  <c:v>-0.1700399615436978</c:v>
                </c:pt>
                <c:pt idx="4">
                  <c:v>-0.18157316763884382</c:v>
                </c:pt>
                <c:pt idx="5">
                  <c:v>-0.19502178252010949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1D-4C77-B36E-BB02EC5B3A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  <c:pt idx="5">
                  <c:v>2466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-2.6879999997618143E-2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1D-4C77-B36E-BB02EC5B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960"/>
        <c:axId val="1"/>
      </c:scatterChart>
      <c:valAx>
        <c:axId val="75040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43949930458971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0B1700-5FF7-AEEA-E794-BE03EB59D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ht="12.95" customHeight="1" x14ac:dyDescent="0.2">
      <c r="A2" t="s">
        <v>27</v>
      </c>
      <c r="B2" t="s">
        <v>42</v>
      </c>
      <c r="C2" s="3"/>
      <c r="D2" s="3"/>
      <c r="E2" s="10" t="s">
        <v>40</v>
      </c>
      <c r="F2" t="s">
        <v>46</v>
      </c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25" t="s">
        <v>39</v>
      </c>
      <c r="D4" s="26" t="s">
        <v>39</v>
      </c>
    </row>
    <row r="5" spans="1:6" ht="12.95" customHeight="1" thickTop="1" x14ac:dyDescent="0.2">
      <c r="A5" s="9" t="s">
        <v>32</v>
      </c>
      <c r="B5" s="10"/>
      <c r="C5" s="11">
        <v>-9.5</v>
      </c>
      <c r="D5" s="10" t="s">
        <v>33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 s="39">
        <v>48501.724000000002</v>
      </c>
      <c r="D7" s="27" t="s">
        <v>43</v>
      </c>
    </row>
    <row r="8" spans="1:6" ht="12.95" customHeight="1" x14ac:dyDescent="0.2">
      <c r="A8" t="s">
        <v>7</v>
      </c>
      <c r="C8" s="39">
        <v>4.7817999999999996</v>
      </c>
      <c r="D8" s="27" t="s">
        <v>43</v>
      </c>
    </row>
    <row r="9" spans="1:6" ht="12.95" customHeight="1" x14ac:dyDescent="0.2">
      <c r="A9" s="22" t="s">
        <v>35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6" ht="12.95" customHeight="1" x14ac:dyDescent="0.2">
      <c r="A11" s="10" t="s">
        <v>19</v>
      </c>
      <c r="B11" s="10"/>
      <c r="C11" s="19">
        <f ca="1">INTERCEPT(INDIRECT($D$9):G992,INDIRECT($C$9):F992)</f>
        <v>5.9738798871703247E-3</v>
      </c>
      <c r="D11" s="3"/>
      <c r="E11" s="10"/>
    </row>
    <row r="12" spans="1:6" ht="12.95" customHeight="1" x14ac:dyDescent="0.2">
      <c r="A12" s="10" t="s">
        <v>20</v>
      </c>
      <c r="B12" s="10"/>
      <c r="C12" s="19">
        <f ca="1">SLOPE(INDIRECT($D$9):G992,INDIRECT($C$9):F992)</f>
        <v>-8.1506756856155645E-5</v>
      </c>
      <c r="D12" s="3"/>
      <c r="E12" s="46" t="s">
        <v>56</v>
      </c>
      <c r="F12" s="49" t="s">
        <v>55</v>
      </c>
    </row>
    <row r="13" spans="1:6" ht="12.95" customHeight="1" x14ac:dyDescent="0.2">
      <c r="A13" s="10" t="s">
        <v>22</v>
      </c>
      <c r="B13" s="10"/>
      <c r="C13" s="3" t="s">
        <v>17</v>
      </c>
      <c r="E13" s="44" t="s">
        <v>36</v>
      </c>
      <c r="F13" s="48">
        <v>1</v>
      </c>
    </row>
    <row r="14" spans="1:6" ht="12.95" customHeight="1" x14ac:dyDescent="0.2">
      <c r="A14" s="10"/>
      <c r="B14" s="10"/>
      <c r="C14" s="10"/>
      <c r="E14" s="44" t="s">
        <v>34</v>
      </c>
      <c r="F14" s="47">
        <f ca="1">NOW()+15018.5+$C$5/24</f>
        <v>60574.799009027774</v>
      </c>
    </row>
    <row r="15" spans="1:6" ht="12.95" customHeight="1" x14ac:dyDescent="0.2">
      <c r="A15" s="12" t="s">
        <v>21</v>
      </c>
      <c r="B15" s="10"/>
      <c r="C15" s="13">
        <f ca="1">(C7+C11)+(C8+C12)*INT(MAX(F21:F3533))</f>
        <v>60293.44777821748</v>
      </c>
      <c r="E15" s="44" t="s">
        <v>37</v>
      </c>
      <c r="F15" s="47">
        <f ca="1">ROUND(2*($F$14-$C$7)/$C$8,0)/2+$F$13</f>
        <v>2526</v>
      </c>
    </row>
    <row r="16" spans="1:6" ht="12.95" customHeight="1" x14ac:dyDescent="0.2">
      <c r="A16" s="15" t="s">
        <v>8</v>
      </c>
      <c r="B16" s="10"/>
      <c r="C16" s="16">
        <f ca="1">+C8+C12</f>
        <v>4.7817184932431438</v>
      </c>
      <c r="E16" s="44" t="s">
        <v>38</v>
      </c>
      <c r="F16" s="47">
        <f ca="1">ROUND(2*($F$14-$C$15)/$C$16,0)/2+$F$13</f>
        <v>60</v>
      </c>
    </row>
    <row r="17" spans="1:21" ht="12.95" customHeight="1" thickBot="1" x14ac:dyDescent="0.25">
      <c r="A17" s="14" t="s">
        <v>31</v>
      </c>
      <c r="B17" s="10"/>
      <c r="C17" s="10">
        <f>COUNT(C21:C2191)</f>
        <v>6</v>
      </c>
      <c r="E17" s="44" t="s">
        <v>53</v>
      </c>
      <c r="F17" s="50">
        <f ca="1">+$C$15+$C$16*$F$16-15018.5-$C$5/24</f>
        <v>45562.246721145406</v>
      </c>
    </row>
    <row r="18" spans="1:21" ht="12.95" customHeight="1" thickTop="1" thickBot="1" x14ac:dyDescent="0.25">
      <c r="A18" s="15" t="s">
        <v>9</v>
      </c>
      <c r="B18" s="10"/>
      <c r="C18" s="18">
        <f ca="1">+C15</f>
        <v>60293.44777821748</v>
      </c>
      <c r="D18" s="43">
        <f ca="1">+C16</f>
        <v>4.7817184932431438</v>
      </c>
      <c r="E18" s="45" t="s">
        <v>54</v>
      </c>
      <c r="F18" s="51">
        <f ca="1">+($C$15+$C$16*$F$16)-($C$16/2)-15018.5-$C$5/24</f>
        <v>45559.855861898781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4" t="s">
        <v>50</v>
      </c>
    </row>
    <row r="21" spans="1:21" ht="12.95" customHeight="1" x14ac:dyDescent="0.2">
      <c r="A21" t="str">
        <f>D7</f>
        <v>VSX</v>
      </c>
      <c r="C21" s="8">
        <f>C$7</f>
        <v>48501.724000000002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5.9738798871703247E-3</v>
      </c>
      <c r="Q21" s="2">
        <f>+C21-15018.5</f>
        <v>33483.224000000002</v>
      </c>
    </row>
    <row r="22" spans="1:21" ht="12.95" customHeight="1" x14ac:dyDescent="0.2">
      <c r="A22" s="28" t="s">
        <v>44</v>
      </c>
      <c r="B22" s="29" t="s">
        <v>45</v>
      </c>
      <c r="C22" s="30">
        <v>55870.371489999998</v>
      </c>
      <c r="D22" s="30">
        <v>4.0000000000000002E-4</v>
      </c>
      <c r="E22">
        <f>+(C22-C$7)/C$8</f>
        <v>1540.9777677861885</v>
      </c>
      <c r="F22">
        <f>ROUND(2*E22,0)/2</f>
        <v>1541</v>
      </c>
      <c r="G22">
        <f>+C22-(C$7+F22*C$8)</f>
        <v>-0.10631000000284985</v>
      </c>
      <c r="K22">
        <f>+G22</f>
        <v>-0.10631000000284985</v>
      </c>
      <c r="O22">
        <f ca="1">+C$11+C$12*$F22</f>
        <v>-0.11962803242816553</v>
      </c>
      <c r="Q22" s="2">
        <f>+C22-15018.5</f>
        <v>40851.871489999998</v>
      </c>
      <c r="R22" t="s">
        <v>2</v>
      </c>
    </row>
    <row r="23" spans="1:21" ht="12.95" customHeight="1" x14ac:dyDescent="0.2">
      <c r="A23" s="31" t="s">
        <v>1</v>
      </c>
      <c r="B23" s="32" t="s">
        <v>45</v>
      </c>
      <c r="C23" s="33">
        <v>56482.422599999998</v>
      </c>
      <c r="D23" s="33">
        <v>1E-4</v>
      </c>
      <c r="E23">
        <f>+(C23-C$7)/C$8</f>
        <v>1668.9737337404317</v>
      </c>
      <c r="F23">
        <f>ROUND(2*E23,0)/2</f>
        <v>1669</v>
      </c>
      <c r="G23">
        <f>+C23-(C$7+F23*C$8)</f>
        <v>-0.1256000000066706</v>
      </c>
      <c r="K23">
        <f>+G23</f>
        <v>-0.1256000000066706</v>
      </c>
      <c r="O23">
        <f ca="1">+C$11+C$12*$F23</f>
        <v>-0.13006089730575346</v>
      </c>
      <c r="Q23" s="2">
        <f>+C23-15018.5</f>
        <v>41463.922599999998</v>
      </c>
      <c r="R23" t="s">
        <v>2</v>
      </c>
    </row>
    <row r="24" spans="1:21" ht="12.95" customHeight="1" x14ac:dyDescent="0.2">
      <c r="A24" s="34" t="s">
        <v>48</v>
      </c>
      <c r="B24" s="35" t="s">
        <v>49</v>
      </c>
      <c r="C24" s="36">
        <v>58827.99422</v>
      </c>
      <c r="D24" s="36">
        <v>6.9999999999999994E-5</v>
      </c>
      <c r="E24">
        <f>+(C24-C$7)/C$8</f>
        <v>2159.4943786858503</v>
      </c>
      <c r="F24">
        <f>ROUND(2*E24,0)/2</f>
        <v>2159.5</v>
      </c>
      <c r="O24">
        <f ca="1">+C$11+C$12*$F24</f>
        <v>-0.1700399615436978</v>
      </c>
      <c r="Q24" s="2">
        <f>+C24-15018.5</f>
        <v>43809.49422</v>
      </c>
      <c r="R24" t="s">
        <v>2</v>
      </c>
      <c r="U24">
        <f>+C24-(C$7+F24*C$8)</f>
        <v>-2.6879999997618143E-2</v>
      </c>
    </row>
    <row r="25" spans="1:21" ht="12.95" customHeight="1" x14ac:dyDescent="0.2">
      <c r="A25" s="37" t="s">
        <v>51</v>
      </c>
      <c r="B25" s="38" t="s">
        <v>45</v>
      </c>
      <c r="C25" s="52">
        <v>59504.457300000002</v>
      </c>
      <c r="D25" s="53">
        <v>2.5000000000000001E-3</v>
      </c>
      <c r="E25">
        <f>+(C25-C$7)/C$8</f>
        <v>2300.9605796980218</v>
      </c>
      <c r="F25">
        <f>ROUND(2*E25,0)/2</f>
        <v>2301</v>
      </c>
      <c r="G25">
        <f t="shared" ref="G25" si="0">+C25-(C$7+F25*C$8)</f>
        <v>-0.18849999999656575</v>
      </c>
      <c r="K25">
        <f t="shared" ref="K25" si="1">+G25</f>
        <v>-0.18849999999656575</v>
      </c>
      <c r="O25">
        <f ca="1">+C$11+C$12*$F25</f>
        <v>-0.18157316763884382</v>
      </c>
      <c r="Q25" s="2">
        <f>+C25-15018.5</f>
        <v>44485.957300000002</v>
      </c>
      <c r="R25" t="s">
        <v>2</v>
      </c>
    </row>
    <row r="26" spans="1:21" ht="12.95" customHeight="1" x14ac:dyDescent="0.25">
      <c r="A26" s="40" t="s">
        <v>52</v>
      </c>
      <c r="B26" s="41" t="s">
        <v>45</v>
      </c>
      <c r="C26" s="42">
        <v>60293.442900000002</v>
      </c>
      <c r="D26" s="42">
        <v>8.9999999999999998E-4</v>
      </c>
      <c r="E26">
        <f>+(C26-C$7)/C$8</f>
        <v>2465.9581956585389</v>
      </c>
      <c r="F26">
        <f>ROUND(2*E26,0)/2</f>
        <v>2466</v>
      </c>
      <c r="G26">
        <f t="shared" ref="G26" si="2">+C26-(C$7+F26*C$8)</f>
        <v>-0.19989999999961583</v>
      </c>
      <c r="K26">
        <f t="shared" ref="K26" si="3">+G26</f>
        <v>-0.19989999999961583</v>
      </c>
      <c r="O26">
        <f ca="1">+C$11+C$12*$F26</f>
        <v>-0.19502178252010949</v>
      </c>
      <c r="Q26" s="2">
        <f>+C26-15018.5</f>
        <v>45274.942900000002</v>
      </c>
      <c r="R26" t="s">
        <v>2</v>
      </c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hyperlinks>
    <hyperlink ref="H218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2024-09-21T07:10:34Z</dcterms:modified>
</cp:coreProperties>
</file>