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E514786-521A-4296-8C2C-99AC914FA8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4" r:id="rId1"/>
    <sheet name="Graphs 1" sheetId="6" r:id="rId2"/>
    <sheet name="A (old)" sheetId="1" r:id="rId3"/>
    <sheet name="A (2)" sheetId="3" r:id="rId4"/>
    <sheet name="BAV" sheetId="5" r:id="rId5"/>
  </sheets>
  <calcPr calcId="181029"/>
</workbook>
</file>

<file path=xl/calcChain.xml><?xml version="1.0" encoding="utf-8"?>
<calcChain xmlns="http://schemas.openxmlformats.org/spreadsheetml/2006/main">
  <c r="E38" i="4" l="1"/>
  <c r="F38" i="4"/>
  <c r="G38" i="4" s="1"/>
  <c r="J38" i="4" s="1"/>
  <c r="Q38" i="4"/>
  <c r="E39" i="4"/>
  <c r="F39" i="4"/>
  <c r="G39" i="4" s="1"/>
  <c r="J39" i="4" s="1"/>
  <c r="Q39" i="4"/>
  <c r="E40" i="4"/>
  <c r="F40" i="4"/>
  <c r="G40" i="4" s="1"/>
  <c r="J40" i="4" s="1"/>
  <c r="Q40" i="4"/>
  <c r="E41" i="4"/>
  <c r="F41" i="4" s="1"/>
  <c r="G41" i="4" s="1"/>
  <c r="J41" i="4" s="1"/>
  <c r="Q41" i="4"/>
  <c r="E25" i="4"/>
  <c r="F25" i="4"/>
  <c r="G25" i="4"/>
  <c r="K25" i="4"/>
  <c r="E33" i="4"/>
  <c r="F33" i="4"/>
  <c r="G33" i="4"/>
  <c r="K33" i="4"/>
  <c r="E34" i="4"/>
  <c r="F34" i="4"/>
  <c r="G34" i="4"/>
  <c r="K34" i="4"/>
  <c r="E21" i="4"/>
  <c r="F21" i="4"/>
  <c r="G21" i="4"/>
  <c r="K21" i="4"/>
  <c r="E24" i="4"/>
  <c r="F24" i="4"/>
  <c r="G24" i="4"/>
  <c r="J24" i="4"/>
  <c r="E26" i="4"/>
  <c r="F26" i="4"/>
  <c r="G26" i="4"/>
  <c r="J26" i="4"/>
  <c r="E27" i="4"/>
  <c r="F27" i="4"/>
  <c r="G27" i="4"/>
  <c r="K27" i="4"/>
  <c r="E28" i="4"/>
  <c r="F28" i="4"/>
  <c r="G28" i="4"/>
  <c r="K28" i="4"/>
  <c r="E29" i="4"/>
  <c r="F29" i="4"/>
  <c r="G29" i="4"/>
  <c r="K29" i="4"/>
  <c r="E30" i="4"/>
  <c r="F30" i="4"/>
  <c r="G30" i="4"/>
  <c r="K30" i="4"/>
  <c r="E31" i="4"/>
  <c r="F31" i="4"/>
  <c r="G31" i="4"/>
  <c r="K31" i="4"/>
  <c r="E32" i="4"/>
  <c r="F32" i="4"/>
  <c r="G32" i="4"/>
  <c r="K32" i="4"/>
  <c r="E35" i="4"/>
  <c r="F35" i="4"/>
  <c r="G35" i="4"/>
  <c r="J35" i="4"/>
  <c r="E36" i="4"/>
  <c r="F36" i="4"/>
  <c r="G36" i="4"/>
  <c r="K36" i="4"/>
  <c r="E37" i="4"/>
  <c r="F37" i="4"/>
  <c r="G37" i="4"/>
  <c r="J37" i="4"/>
  <c r="E22" i="4"/>
  <c r="F22" i="4"/>
  <c r="S22" i="4"/>
  <c r="E23" i="4"/>
  <c r="F23" i="4"/>
  <c r="D9" i="4"/>
  <c r="C9" i="4"/>
  <c r="Q25" i="4"/>
  <c r="Q33" i="4"/>
  <c r="Q34" i="4"/>
  <c r="G20" i="5"/>
  <c r="C20" i="5"/>
  <c r="E20" i="5"/>
  <c r="G19" i="5"/>
  <c r="C19" i="5"/>
  <c r="E19" i="5"/>
  <c r="G18" i="5"/>
  <c r="C18" i="5"/>
  <c r="E18" i="5"/>
  <c r="G23" i="5"/>
  <c r="C23" i="5"/>
  <c r="E23" i="5"/>
  <c r="G22" i="5"/>
  <c r="C22" i="5"/>
  <c r="E22" i="5"/>
  <c r="G17" i="5"/>
  <c r="C17" i="5"/>
  <c r="E17" i="5"/>
  <c r="G16" i="5"/>
  <c r="C16" i="5"/>
  <c r="E16" i="5"/>
  <c r="G15" i="5"/>
  <c r="C15" i="5"/>
  <c r="E15" i="5"/>
  <c r="G14" i="5"/>
  <c r="C14" i="5"/>
  <c r="E14" i="5"/>
  <c r="G13" i="5"/>
  <c r="C13" i="5"/>
  <c r="E13" i="5"/>
  <c r="G12" i="5"/>
  <c r="C12" i="5"/>
  <c r="E12" i="5"/>
  <c r="G21" i="5"/>
  <c r="C21" i="5"/>
  <c r="E21" i="5"/>
  <c r="G11" i="5"/>
  <c r="C11" i="5"/>
  <c r="E11" i="5"/>
  <c r="H20" i="5"/>
  <c r="D20" i="5"/>
  <c r="B20" i="5"/>
  <c r="A20" i="5"/>
  <c r="H19" i="5"/>
  <c r="B19" i="5"/>
  <c r="D19" i="5"/>
  <c r="A19" i="5"/>
  <c r="H18" i="5"/>
  <c r="D18" i="5"/>
  <c r="B18" i="5"/>
  <c r="A18" i="5"/>
  <c r="H23" i="5"/>
  <c r="B23" i="5"/>
  <c r="D23" i="5"/>
  <c r="A23" i="5"/>
  <c r="H22" i="5"/>
  <c r="D22" i="5"/>
  <c r="B22" i="5"/>
  <c r="A22" i="5"/>
  <c r="H17" i="5"/>
  <c r="B17" i="5"/>
  <c r="D17" i="5"/>
  <c r="A17" i="5"/>
  <c r="H16" i="5"/>
  <c r="D16" i="5"/>
  <c r="B16" i="5"/>
  <c r="A16" i="5"/>
  <c r="H15" i="5"/>
  <c r="B15" i="5"/>
  <c r="D15" i="5"/>
  <c r="A15" i="5"/>
  <c r="H14" i="5"/>
  <c r="D14" i="5"/>
  <c r="B14" i="5"/>
  <c r="A14" i="5"/>
  <c r="H13" i="5"/>
  <c r="B13" i="5"/>
  <c r="D13" i="5"/>
  <c r="A13" i="5"/>
  <c r="H12" i="5"/>
  <c r="D12" i="5"/>
  <c r="B12" i="5"/>
  <c r="A12" i="5"/>
  <c r="H21" i="5"/>
  <c r="B21" i="5"/>
  <c r="D21" i="5"/>
  <c r="A21" i="5"/>
  <c r="H11" i="5"/>
  <c r="D11" i="5"/>
  <c r="B11" i="5"/>
  <c r="A11" i="5"/>
  <c r="S23" i="4"/>
  <c r="Q24" i="4"/>
  <c r="Q26" i="4"/>
  <c r="Q37" i="4"/>
  <c r="F16" i="4"/>
  <c r="C17" i="4"/>
  <c r="Q21" i="4"/>
  <c r="Q22" i="4"/>
  <c r="Q23" i="4"/>
  <c r="Q27" i="4"/>
  <c r="Q28" i="4"/>
  <c r="Q29" i="4"/>
  <c r="Q30" i="4"/>
  <c r="Q31" i="4"/>
  <c r="Q32" i="4"/>
  <c r="Q35" i="4"/>
  <c r="Q36" i="4"/>
  <c r="F11" i="3"/>
  <c r="Q30" i="3"/>
  <c r="Q31" i="3"/>
  <c r="C7" i="3"/>
  <c r="C8" i="3"/>
  <c r="E31" i="3"/>
  <c r="F31" i="3"/>
  <c r="G31" i="3"/>
  <c r="H31" i="3"/>
  <c r="G11" i="3"/>
  <c r="E14" i="3"/>
  <c r="E15" i="3" s="1"/>
  <c r="C17" i="3"/>
  <c r="Q21" i="3"/>
  <c r="Q22" i="3"/>
  <c r="Q23" i="3"/>
  <c r="Q24" i="3"/>
  <c r="Q25" i="3"/>
  <c r="Q26" i="3"/>
  <c r="Q27" i="3"/>
  <c r="E28" i="3"/>
  <c r="F28" i="3"/>
  <c r="G28" i="3"/>
  <c r="H28" i="3"/>
  <c r="Q28" i="3"/>
  <c r="E29" i="3"/>
  <c r="F29" i="3"/>
  <c r="G29" i="3"/>
  <c r="H29" i="3"/>
  <c r="Q29" i="3"/>
  <c r="C7" i="1"/>
  <c r="E25" i="1"/>
  <c r="F25" i="1"/>
  <c r="C8" i="1"/>
  <c r="E22" i="1"/>
  <c r="F22" i="1"/>
  <c r="G22" i="1"/>
  <c r="I22" i="1"/>
  <c r="E31" i="1"/>
  <c r="F31" i="1"/>
  <c r="E24" i="1"/>
  <c r="F24" i="1"/>
  <c r="G24" i="1"/>
  <c r="H24" i="1"/>
  <c r="E26" i="1"/>
  <c r="F26" i="1"/>
  <c r="E27" i="1"/>
  <c r="F27" i="1"/>
  <c r="G27" i="1"/>
  <c r="H27" i="1"/>
  <c r="E28" i="1"/>
  <c r="F28" i="1"/>
  <c r="G28" i="1"/>
  <c r="H28" i="1"/>
  <c r="E30" i="1"/>
  <c r="F30" i="1"/>
  <c r="G30" i="1"/>
  <c r="H30" i="1"/>
  <c r="G11" i="1"/>
  <c r="F11" i="1"/>
  <c r="E21" i="1"/>
  <c r="F21" i="1"/>
  <c r="E23" i="1"/>
  <c r="F23" i="1"/>
  <c r="G23" i="1"/>
  <c r="I23" i="1"/>
  <c r="Q30" i="1"/>
  <c r="Q31" i="1"/>
  <c r="Q24" i="1"/>
  <c r="Q25" i="1"/>
  <c r="Q26" i="1"/>
  <c r="Q27" i="1"/>
  <c r="Q28" i="1"/>
  <c r="Q29" i="1"/>
  <c r="Q22" i="1"/>
  <c r="Q23" i="1"/>
  <c r="E14" i="1"/>
  <c r="E15" i="1" s="1"/>
  <c r="C17" i="1"/>
  <c r="Q21" i="1"/>
  <c r="G25" i="1"/>
  <c r="H25" i="1"/>
  <c r="E24" i="3"/>
  <c r="F24" i="3"/>
  <c r="G24" i="3"/>
  <c r="H24" i="3"/>
  <c r="E30" i="3"/>
  <c r="F30" i="3"/>
  <c r="G30" i="3"/>
  <c r="H30" i="3"/>
  <c r="S31" i="1"/>
  <c r="E26" i="3"/>
  <c r="F26" i="3"/>
  <c r="G26" i="3"/>
  <c r="H26" i="3"/>
  <c r="E23" i="3"/>
  <c r="F23" i="3"/>
  <c r="G23" i="3"/>
  <c r="I23" i="3"/>
  <c r="E21" i="3"/>
  <c r="F21" i="3"/>
  <c r="G21" i="3"/>
  <c r="E25" i="3"/>
  <c r="F25" i="3"/>
  <c r="G25" i="3"/>
  <c r="H25" i="3"/>
  <c r="E22" i="3"/>
  <c r="F22" i="3"/>
  <c r="G22" i="3"/>
  <c r="I22" i="3"/>
  <c r="G21" i="1"/>
  <c r="G26" i="1"/>
  <c r="H26" i="1"/>
  <c r="E29" i="1"/>
  <c r="F29" i="1"/>
  <c r="G29" i="1"/>
  <c r="H29" i="1"/>
  <c r="E27" i="3"/>
  <c r="F27" i="3"/>
  <c r="G27" i="3"/>
  <c r="H27" i="3"/>
  <c r="H21" i="3"/>
  <c r="H21" i="1"/>
  <c r="C11" i="1"/>
  <c r="C12" i="4"/>
  <c r="C11" i="4"/>
  <c r="C12" i="1"/>
  <c r="C11" i="3"/>
  <c r="O40" i="4" l="1"/>
  <c r="O39" i="4"/>
  <c r="O38" i="4"/>
  <c r="O41" i="4"/>
  <c r="C16" i="1"/>
  <c r="D18" i="1" s="1"/>
  <c r="C16" i="4"/>
  <c r="D18" i="4" s="1"/>
  <c r="O28" i="1"/>
  <c r="R28" i="1" s="1"/>
  <c r="O22" i="1"/>
  <c r="R22" i="1" s="1"/>
  <c r="O25" i="1"/>
  <c r="R25" i="1" s="1"/>
  <c r="O27" i="1"/>
  <c r="R27" i="1" s="1"/>
  <c r="O24" i="1"/>
  <c r="R24" i="1" s="1"/>
  <c r="O29" i="1"/>
  <c r="R29" i="1" s="1"/>
  <c r="O31" i="1"/>
  <c r="R31" i="1" s="1"/>
  <c r="O21" i="1"/>
  <c r="R21" i="1" s="1"/>
  <c r="O26" i="1"/>
  <c r="R26" i="1" s="1"/>
  <c r="C15" i="1"/>
  <c r="O23" i="1"/>
  <c r="R23" i="1" s="1"/>
  <c r="O30" i="1"/>
  <c r="R30" i="1" s="1"/>
  <c r="O28" i="4"/>
  <c r="C15" i="4"/>
  <c r="F18" i="4" s="1"/>
  <c r="O36" i="4"/>
  <c r="O33" i="4"/>
  <c r="O21" i="4"/>
  <c r="O34" i="4"/>
  <c r="O37" i="4"/>
  <c r="O32" i="4"/>
  <c r="O29" i="4"/>
  <c r="O22" i="4"/>
  <c r="O31" i="4"/>
  <c r="O25" i="4"/>
  <c r="O23" i="4"/>
  <c r="O30" i="4"/>
  <c r="O35" i="4"/>
  <c r="O27" i="4"/>
  <c r="O24" i="4"/>
  <c r="O26" i="4"/>
  <c r="F17" i="4"/>
  <c r="C12" i="3"/>
  <c r="O27" i="3" l="1"/>
  <c r="R27" i="3" s="1"/>
  <c r="C15" i="3"/>
  <c r="E16" i="3" s="1"/>
  <c r="E17" i="3" s="1"/>
  <c r="O26" i="3"/>
  <c r="R26" i="3" s="1"/>
  <c r="O21" i="3"/>
  <c r="R21" i="3" s="1"/>
  <c r="C16" i="3"/>
  <c r="D18" i="3" s="1"/>
  <c r="O28" i="3"/>
  <c r="R28" i="3" s="1"/>
  <c r="O22" i="3"/>
  <c r="R22" i="3" s="1"/>
  <c r="O31" i="3"/>
  <c r="R31" i="3" s="1"/>
  <c r="O23" i="3"/>
  <c r="R23" i="3" s="1"/>
  <c r="O24" i="3"/>
  <c r="R24" i="3" s="1"/>
  <c r="O30" i="3"/>
  <c r="R30" i="3" s="1"/>
  <c r="O29" i="3"/>
  <c r="R29" i="3" s="1"/>
  <c r="O25" i="3"/>
  <c r="R25" i="3" s="1"/>
  <c r="R19" i="1"/>
  <c r="C18" i="1"/>
  <c r="E16" i="1"/>
  <c r="E17" i="1" s="1"/>
  <c r="F19" i="4"/>
  <c r="C18" i="4"/>
  <c r="R19" i="3" l="1"/>
  <c r="C18" i="3"/>
</calcChain>
</file>

<file path=xl/sharedStrings.xml><?xml version="1.0" encoding="utf-8"?>
<sst xmlns="http://schemas.openxmlformats.org/spreadsheetml/2006/main" count="342" uniqueCount="122">
  <si>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</si>
  <si>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</si>
  <si>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</si>
  <si>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</si>
  <si>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</si>
  <si>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</si>
  <si>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</si>
  <si>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</si>
  <si>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</si>
  <si>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</si>
  <si>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</si>
  <si>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</si>
  <si>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</si>
  <si>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</si>
  <si>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</si>
  <si>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</si>
  <si>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</si>
  <si>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</si>
  <si>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</si>
  <si>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</si>
  <si>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</si>
  <si>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</si>
  <si>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</si>
  <si>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</si>
  <si>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</si>
  <si>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</si>
  <si>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</si>
  <si>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</si>
  <si>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</si>
  <si>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</si>
  <si>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</si>
  <si>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</si>
  <si>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</si>
  <si>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</si>
  <si>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</si>
  <si>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</si>
  <si>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</si>
  <si>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EB:</t>
  </si>
  <si>
    <t>IBVS 5600 Eph.</t>
  </si>
  <si>
    <t>IBVS 5600</t>
  </si>
  <si>
    <t>V1001 Cas / GSC 3651-0655</t>
  </si>
  <si>
    <t>Add cycle</t>
  </si>
  <si>
    <t>Old Cycle</t>
  </si>
  <si>
    <t>OEJV 0003</t>
  </si>
  <si>
    <t>I</t>
  </si>
  <si>
    <t>OEJV</t>
  </si>
  <si>
    <t>IBVS 6042</t>
  </si>
  <si>
    <t>II</t>
  </si>
  <si>
    <t>OEJV 0160</t>
  </si>
  <si>
    <t>IBVS 6070</t>
  </si>
  <si>
    <t>BAD?</t>
  </si>
  <si>
    <t>IBVS 5984</t>
  </si>
  <si>
    <t>IBVS 6152</t>
  </si>
  <si>
    <t>This fit is the best one.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</si>
  <si>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</si>
  <si>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</si>
  <si>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</si>
  <si>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</si>
  <si>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</si>
  <si>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</si>
  <si>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</si>
  <si>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</si>
  <si>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</si>
  <si>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</si>
  <si>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</si>
  <si>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2455491.2736 </t>
  </si>
  <si>
    <t> 21.10.2010 18:33 </t>
  </si>
  <si>
    <t> 0.0409 </t>
  </si>
  <si>
    <t>C </t>
  </si>
  <si>
    <t>-I</t>
  </si>
  <si>
    <t> F.Agerer </t>
  </si>
  <si>
    <t>BAVM 215 </t>
  </si>
  <si>
    <t>2455491.4841 </t>
  </si>
  <si>
    <t> 21.10.2010 23:37 </t>
  </si>
  <si>
    <t>5957</t>
  </si>
  <si>
    <t> 0.0370 </t>
  </si>
  <si>
    <t>2455783.46076 </t>
  </si>
  <si>
    <t> 09.08.2011 23:03 </t>
  </si>
  <si>
    <t>6638</t>
  </si>
  <si>
    <t> 0.00086 </t>
  </si>
  <si>
    <t>R</t>
  </si>
  <si>
    <t> L.Brat </t>
  </si>
  <si>
    <t>OEJV 0160 </t>
  </si>
  <si>
    <t>2455783.46088 </t>
  </si>
  <si>
    <t> 0.00098 </t>
  </si>
  <si>
    <t>2455799.54813 </t>
  </si>
  <si>
    <t> 26.08.2011 01:09 </t>
  </si>
  <si>
    <t>6675.5</t>
  </si>
  <si>
    <t> 0.00823 </t>
  </si>
  <si>
    <t>2455799.551 </t>
  </si>
  <si>
    <t> 26.08.2011 01:13 </t>
  </si>
  <si>
    <t> 0.011 </t>
  </si>
  <si>
    <t>2455802.55699 </t>
  </si>
  <si>
    <t> 29.08.2011 01:22 </t>
  </si>
  <si>
    <t>6682.5</t>
  </si>
  <si>
    <t> 0.01549 </t>
  </si>
  <si>
    <t>2455804.48475 </t>
  </si>
  <si>
    <t> 30.08.2011 23:38 </t>
  </si>
  <si>
    <t>6687</t>
  </si>
  <si>
    <t> 0.01365 </t>
  </si>
  <si>
    <t>2455873.3517 </t>
  </si>
  <si>
    <t> 07.11.2011 20:26 </t>
  </si>
  <si>
    <t>6847.5</t>
  </si>
  <si>
    <t> 0.0582 </t>
  </si>
  <si>
    <t>BAVM 225 </t>
  </si>
  <si>
    <t>2455873.5637 </t>
  </si>
  <si>
    <t> 08.11.2011 01:31 </t>
  </si>
  <si>
    <t> 0.0558 </t>
  </si>
  <si>
    <t>2456159.5296 </t>
  </si>
  <si>
    <t> 20.08.2012 00:42 </t>
  </si>
  <si>
    <t> 0.0121 </t>
  </si>
  <si>
    <t>BAVM 231 </t>
  </si>
  <si>
    <t>2456238.6941 </t>
  </si>
  <si>
    <t> 07.11.2012 04:39 </t>
  </si>
  <si>
    <t> 0.0630 </t>
  </si>
  <si>
    <t> R.Diethelm </t>
  </si>
  <si>
    <t>IBVS 6042 </t>
  </si>
  <si>
    <t>2456965.5168 </t>
  </si>
  <si>
    <t> 04.11.2014 00:24 </t>
  </si>
  <si>
    <t> 0.0697 </t>
  </si>
  <si>
    <t>BAVM 239 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</si>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</sst>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0" fontId="14" fillId="0" borderId="0" xfId="0" applyFont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3" xfId="0" applyFont="1" applyBorder="1" applyAlignment="1">
      <alignment horizontal="center"/>
    </xf>
    <xf numFmtId="0" fontId="12" fillId="0" borderId="0" xfId="0" applyFont="1" applyAlignment="1"/>
    <xf numFmtId="0" fontId="17" fillId="2" borderId="0" xfId="0" applyFont="1" applyFill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165" fontId="22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V1001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1F-458D-B65D-72722110FBB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1F-458D-B65D-72722110FBB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3">
                  <c:v>-7.6945609907852486E-3</c:v>
                </c:pt>
                <c:pt idx="5">
                  <c:v>-7.7226926441653632E-3</c:v>
                </c:pt>
                <c:pt idx="14">
                  <c:v>-6.8246744340285659E-3</c:v>
                </c:pt>
                <c:pt idx="16">
                  <c:v>-1.815312061808072E-3</c:v>
                </c:pt>
                <c:pt idx="17">
                  <c:v>1.4418814826058224E-2</c:v>
                </c:pt>
                <c:pt idx="18">
                  <c:v>1.4890683021803852E-2</c:v>
                </c:pt>
                <c:pt idx="19">
                  <c:v>-1.3949975167633966E-2</c:v>
                </c:pt>
                <c:pt idx="20">
                  <c:v>4.8050024750409648E-2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1F-458D-B65D-72722110FBB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-2.3859045490098651E-2</c:v>
                </c:pt>
                <c:pt idx="4">
                  <c:v>-1.172269264498027E-2</c:v>
                </c:pt>
                <c:pt idx="6">
                  <c:v>-7.8498786460841075E-3</c:v>
                </c:pt>
                <c:pt idx="7">
                  <c:v>-7.7298786491155624E-3</c:v>
                </c:pt>
                <c:pt idx="8">
                  <c:v>-1.0089752970088739E-2</c:v>
                </c:pt>
                <c:pt idx="9">
                  <c:v>-7.2197529734694399E-3</c:v>
                </c:pt>
                <c:pt idx="10">
                  <c:v>-4.6235961781349033E-3</c:v>
                </c:pt>
                <c:pt idx="11">
                  <c:v>-7.6167810912011191E-3</c:v>
                </c:pt>
                <c:pt idx="12">
                  <c:v>-4.1970431848312728E-3</c:v>
                </c:pt>
                <c:pt idx="13">
                  <c:v>-6.7251748478156514E-3</c:v>
                </c:pt>
                <c:pt idx="15">
                  <c:v>-3.2052560927695595E-3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1F-458D-B65D-72722110FBB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1F-458D-B65D-72722110FBB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1F-458D-B65D-72722110FBB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1F-458D-B65D-72722110FBB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-2.4739540413402962E-2</c:v>
                </c:pt>
                <c:pt idx="1">
                  <c:v>-2.1092807400257617E-2</c:v>
                </c:pt>
                <c:pt idx="2">
                  <c:v>-2.0926687241307397E-2</c:v>
                </c:pt>
                <c:pt idx="3">
                  <c:v>-9.0425038065669351E-3</c:v>
                </c:pt>
                <c:pt idx="4">
                  <c:v>-9.0411853926070131E-3</c:v>
                </c:pt>
                <c:pt idx="5">
                  <c:v>-9.0411853926070131E-3</c:v>
                </c:pt>
                <c:pt idx="6">
                  <c:v>-7.2468239931526342E-3</c:v>
                </c:pt>
                <c:pt idx="7">
                  <c:v>-7.2468239931526342E-3</c:v>
                </c:pt>
                <c:pt idx="8">
                  <c:v>-7.1479429461584545E-3</c:v>
                </c:pt>
                <c:pt idx="9">
                  <c:v>-7.1479429461584545E-3</c:v>
                </c:pt>
                <c:pt idx="10">
                  <c:v>-7.1294851507195407E-3</c:v>
                </c:pt>
                <c:pt idx="11">
                  <c:v>-7.1176194250802387E-3</c:v>
                </c:pt>
                <c:pt idx="12">
                  <c:v>-6.6944085439451509E-3</c:v>
                </c:pt>
                <c:pt idx="13">
                  <c:v>-6.6930901299852279E-3</c:v>
                </c:pt>
                <c:pt idx="14">
                  <c:v>-4.9356443214086769E-3</c:v>
                </c:pt>
                <c:pt idx="15">
                  <c:v>-4.4491495701973133E-3</c:v>
                </c:pt>
                <c:pt idx="16">
                  <c:v>1.7636926019757963E-5</c:v>
                </c:pt>
                <c:pt idx="17">
                  <c:v>1.5538006062226181E-2</c:v>
                </c:pt>
                <c:pt idx="18">
                  <c:v>1.5539324476186106E-2</c:v>
                </c:pt>
                <c:pt idx="19">
                  <c:v>1.5545916545985717E-2</c:v>
                </c:pt>
                <c:pt idx="20">
                  <c:v>1.5545916545985717E-2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1F-458D-B65D-72722110FBBC}"/>
            </c:ext>
          </c:extLst>
        </c:ser>
        <c:ser>
          <c:idx val="8"/>
          <c:order val="8"/>
          <c:tx>
            <c:strRef>
              <c:f>'Active 1'!$S$20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1'!$S$21:$S$999</c:f>
              <c:numCache>
                <c:formatCode>General</c:formatCode>
                <c:ptCount val="979"/>
                <c:pt idx="1">
                  <c:v>2.9828789527527988E-2</c:v>
                </c:pt>
                <c:pt idx="2">
                  <c:v>6.2842006736900657E-3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1F-458D-B65D-72722110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462848"/>
        <c:axId val="1"/>
      </c:scatterChart>
      <c:valAx>
        <c:axId val="658462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462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V1001 Cas - O-C Diagr.</a:t>
            </a:r>
          </a:p>
        </c:rich>
      </c:tx>
      <c:layout>
        <c:manualLayout>
          <c:xMode val="edge"/>
          <c:yMode val="edge"/>
          <c:x val="0.3663668392802250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681801452528879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4C-4723-A2EC-CD6894068582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4C-4723-A2EC-CD689406858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3">
                  <c:v>-7.6945609907852486E-3</c:v>
                </c:pt>
                <c:pt idx="5">
                  <c:v>-7.7226926441653632E-3</c:v>
                </c:pt>
                <c:pt idx="14">
                  <c:v>-6.8246744340285659E-3</c:v>
                </c:pt>
                <c:pt idx="16">
                  <c:v>-1.815312061808072E-3</c:v>
                </c:pt>
                <c:pt idx="17">
                  <c:v>1.4418814826058224E-2</c:v>
                </c:pt>
                <c:pt idx="18">
                  <c:v>1.4890683021803852E-2</c:v>
                </c:pt>
                <c:pt idx="19">
                  <c:v>-1.3949975167633966E-2</c:v>
                </c:pt>
                <c:pt idx="20">
                  <c:v>4.8050024750409648E-2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4C-4723-A2EC-CD689406858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-2.3859045490098651E-2</c:v>
                </c:pt>
                <c:pt idx="4">
                  <c:v>-1.172269264498027E-2</c:v>
                </c:pt>
                <c:pt idx="6">
                  <c:v>-7.8498786460841075E-3</c:v>
                </c:pt>
                <c:pt idx="7">
                  <c:v>-7.7298786491155624E-3</c:v>
                </c:pt>
                <c:pt idx="8">
                  <c:v>-1.0089752970088739E-2</c:v>
                </c:pt>
                <c:pt idx="9">
                  <c:v>-7.2197529734694399E-3</c:v>
                </c:pt>
                <c:pt idx="10">
                  <c:v>-4.6235961781349033E-3</c:v>
                </c:pt>
                <c:pt idx="11">
                  <c:v>-7.6167810912011191E-3</c:v>
                </c:pt>
                <c:pt idx="12">
                  <c:v>-4.1970431848312728E-3</c:v>
                </c:pt>
                <c:pt idx="13">
                  <c:v>-6.7251748478156514E-3</c:v>
                </c:pt>
                <c:pt idx="15">
                  <c:v>-3.2052560927695595E-3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4C-4723-A2EC-CD689406858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4C-4723-A2EC-CD689406858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4C-4723-A2EC-CD689406858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5.9999999999999995E-4</c:v>
                  </c:pt>
                  <c:pt idx="4">
                    <c:v>0</c:v>
                  </c:pt>
                  <c:pt idx="5">
                    <c:v>1.1000000000000001E-3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6.9999999999999999E-4</c:v>
                  </c:pt>
                  <c:pt idx="16">
                    <c:v>5.1000000000000004E-3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4C-4723-A2EC-CD689406858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-2.4739540413402962E-2</c:v>
                </c:pt>
                <c:pt idx="1">
                  <c:v>-2.1092807400257617E-2</c:v>
                </c:pt>
                <c:pt idx="2">
                  <c:v>-2.0926687241307397E-2</c:v>
                </c:pt>
                <c:pt idx="3">
                  <c:v>-9.0425038065669351E-3</c:v>
                </c:pt>
                <c:pt idx="4">
                  <c:v>-9.0411853926070131E-3</c:v>
                </c:pt>
                <c:pt idx="5">
                  <c:v>-9.0411853926070131E-3</c:v>
                </c:pt>
                <c:pt idx="6">
                  <c:v>-7.2468239931526342E-3</c:v>
                </c:pt>
                <c:pt idx="7">
                  <c:v>-7.2468239931526342E-3</c:v>
                </c:pt>
                <c:pt idx="8">
                  <c:v>-7.1479429461584545E-3</c:v>
                </c:pt>
                <c:pt idx="9">
                  <c:v>-7.1479429461584545E-3</c:v>
                </c:pt>
                <c:pt idx="10">
                  <c:v>-7.1294851507195407E-3</c:v>
                </c:pt>
                <c:pt idx="11">
                  <c:v>-7.1176194250802387E-3</c:v>
                </c:pt>
                <c:pt idx="12">
                  <c:v>-6.6944085439451509E-3</c:v>
                </c:pt>
                <c:pt idx="13">
                  <c:v>-6.6930901299852279E-3</c:v>
                </c:pt>
                <c:pt idx="14">
                  <c:v>-4.9356443214086769E-3</c:v>
                </c:pt>
                <c:pt idx="15">
                  <c:v>-4.4491495701973133E-3</c:v>
                </c:pt>
                <c:pt idx="16">
                  <c:v>1.7636926019757963E-5</c:v>
                </c:pt>
                <c:pt idx="17">
                  <c:v>1.5538006062226181E-2</c:v>
                </c:pt>
                <c:pt idx="18">
                  <c:v>1.5539324476186106E-2</c:v>
                </c:pt>
                <c:pt idx="19">
                  <c:v>1.5545916545985717E-2</c:v>
                </c:pt>
                <c:pt idx="20">
                  <c:v>1.5545916545985717E-2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4C-4723-A2EC-CD6894068582}"/>
            </c:ext>
          </c:extLst>
        </c:ser>
        <c:ser>
          <c:idx val="8"/>
          <c:order val="8"/>
          <c:tx>
            <c:strRef>
              <c:f>'Active 1'!$S$20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-7694</c:v>
                </c:pt>
                <c:pt idx="1">
                  <c:v>-6311</c:v>
                </c:pt>
                <c:pt idx="2">
                  <c:v>-6248</c:v>
                </c:pt>
                <c:pt idx="3">
                  <c:v>-1741</c:v>
                </c:pt>
                <c:pt idx="4">
                  <c:v>-1740.5</c:v>
                </c:pt>
                <c:pt idx="5">
                  <c:v>-1740.5</c:v>
                </c:pt>
                <c:pt idx="6">
                  <c:v>-1060</c:v>
                </c:pt>
                <c:pt idx="7">
                  <c:v>-1060</c:v>
                </c:pt>
                <c:pt idx="8">
                  <c:v>-1022.5</c:v>
                </c:pt>
                <c:pt idx="9">
                  <c:v>-1022.5</c:v>
                </c:pt>
                <c:pt idx="10">
                  <c:v>-1015.5</c:v>
                </c:pt>
                <c:pt idx="11">
                  <c:v>-1011</c:v>
                </c:pt>
                <c:pt idx="12">
                  <c:v>-850.5</c:v>
                </c:pt>
                <c:pt idx="13">
                  <c:v>-850</c:v>
                </c:pt>
                <c:pt idx="14">
                  <c:v>-183.5</c:v>
                </c:pt>
                <c:pt idx="15">
                  <c:v>1</c:v>
                </c:pt>
                <c:pt idx="16">
                  <c:v>1695</c:v>
                </c:pt>
                <c:pt idx="17">
                  <c:v>7581</c:v>
                </c:pt>
                <c:pt idx="18">
                  <c:v>7581.5</c:v>
                </c:pt>
                <c:pt idx="19">
                  <c:v>7584</c:v>
                </c:pt>
                <c:pt idx="20">
                  <c:v>7584</c:v>
                </c:pt>
              </c:numCache>
            </c:numRef>
          </c:xVal>
          <c:yVal>
            <c:numRef>
              <c:f>'Active 1'!$S$21:$S$999</c:f>
              <c:numCache>
                <c:formatCode>General</c:formatCode>
                <c:ptCount val="979"/>
                <c:pt idx="1">
                  <c:v>2.9828789527527988E-2</c:v>
                </c:pt>
                <c:pt idx="2">
                  <c:v>6.2842006736900657E-3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4C-4723-A2EC-CD6894068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461048"/>
        <c:axId val="1"/>
      </c:scatterChart>
      <c:valAx>
        <c:axId val="658461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461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0451948011001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V1001 Cas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1384</c:v>
                </c:pt>
                <c:pt idx="2">
                  <c:v>1447</c:v>
                </c:pt>
                <c:pt idx="3">
                  <c:v>6638</c:v>
                </c:pt>
                <c:pt idx="4">
                  <c:v>6638</c:v>
                </c:pt>
                <c:pt idx="5">
                  <c:v>6675.5</c:v>
                </c:pt>
                <c:pt idx="6">
                  <c:v>6675.5</c:v>
                </c:pt>
                <c:pt idx="7">
                  <c:v>6682.5</c:v>
                </c:pt>
                <c:pt idx="8">
                  <c:v>6687</c:v>
                </c:pt>
                <c:pt idx="9">
                  <c:v>7515</c:v>
                </c:pt>
                <c:pt idx="10">
                  <c:v>7699.5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  <c:pt idx="3">
                  <c:v>8.599999564466998E-4</c:v>
                </c:pt>
                <c:pt idx="4">
                  <c:v>9.7999995341524482E-4</c:v>
                </c:pt>
                <c:pt idx="5">
                  <c:v>8.2299999558017589E-3</c:v>
                </c:pt>
                <c:pt idx="6">
                  <c:v>1.1099999952421058E-2</c:v>
                </c:pt>
                <c:pt idx="7">
                  <c:v>1.5489999954297673E-2</c:v>
                </c:pt>
                <c:pt idx="8">
                  <c:v>1.3649999957124237E-2</c:v>
                </c:pt>
                <c:pt idx="9">
                  <c:v>1.2099999956262764E-2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67-4D9D-9A00-920CC5F717B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1384</c:v>
                </c:pt>
                <c:pt idx="2">
                  <c:v>1447</c:v>
                </c:pt>
                <c:pt idx="3">
                  <c:v>6638</c:v>
                </c:pt>
                <c:pt idx="4">
                  <c:v>6638</c:v>
                </c:pt>
                <c:pt idx="5">
                  <c:v>6675.5</c:v>
                </c:pt>
                <c:pt idx="6">
                  <c:v>6675.5</c:v>
                </c:pt>
                <c:pt idx="7">
                  <c:v>6682.5</c:v>
                </c:pt>
                <c:pt idx="8">
                  <c:v>6687</c:v>
                </c:pt>
                <c:pt idx="9">
                  <c:v>7515</c:v>
                </c:pt>
                <c:pt idx="10">
                  <c:v>7699.5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-2.070000004459871E-2</c:v>
                </c:pt>
                <c:pt idx="2">
                  <c:v>-2.8100000039557926E-2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67-4D9D-9A00-920CC5F717B8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1384</c:v>
                </c:pt>
                <c:pt idx="2">
                  <c:v>1447</c:v>
                </c:pt>
                <c:pt idx="3">
                  <c:v>6638</c:v>
                </c:pt>
                <c:pt idx="4">
                  <c:v>6638</c:v>
                </c:pt>
                <c:pt idx="5">
                  <c:v>6675.5</c:v>
                </c:pt>
                <c:pt idx="6">
                  <c:v>6675.5</c:v>
                </c:pt>
                <c:pt idx="7">
                  <c:v>6682.5</c:v>
                </c:pt>
                <c:pt idx="8">
                  <c:v>6687</c:v>
                </c:pt>
                <c:pt idx="9">
                  <c:v>7515</c:v>
                </c:pt>
                <c:pt idx="10">
                  <c:v>7699.5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67-4D9D-9A00-920CC5F717B8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1384</c:v>
                </c:pt>
                <c:pt idx="2">
                  <c:v>1447</c:v>
                </c:pt>
                <c:pt idx="3">
                  <c:v>6638</c:v>
                </c:pt>
                <c:pt idx="4">
                  <c:v>6638</c:v>
                </c:pt>
                <c:pt idx="5">
                  <c:v>6675.5</c:v>
                </c:pt>
                <c:pt idx="6">
                  <c:v>6675.5</c:v>
                </c:pt>
                <c:pt idx="7">
                  <c:v>6682.5</c:v>
                </c:pt>
                <c:pt idx="8">
                  <c:v>6687</c:v>
                </c:pt>
                <c:pt idx="9">
                  <c:v>7515</c:v>
                </c:pt>
                <c:pt idx="10">
                  <c:v>7699.5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67-4D9D-9A00-920CC5F717B8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1384</c:v>
                </c:pt>
                <c:pt idx="2">
                  <c:v>1447</c:v>
                </c:pt>
                <c:pt idx="3">
                  <c:v>6638</c:v>
                </c:pt>
                <c:pt idx="4">
                  <c:v>6638</c:v>
                </c:pt>
                <c:pt idx="5">
                  <c:v>6675.5</c:v>
                </c:pt>
                <c:pt idx="6">
                  <c:v>6675.5</c:v>
                </c:pt>
                <c:pt idx="7">
                  <c:v>6682.5</c:v>
                </c:pt>
                <c:pt idx="8">
                  <c:v>6687</c:v>
                </c:pt>
                <c:pt idx="9">
                  <c:v>7515</c:v>
                </c:pt>
                <c:pt idx="10">
                  <c:v>7699.5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67-4D9D-9A00-920CC5F717B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1384</c:v>
                </c:pt>
                <c:pt idx="2">
                  <c:v>1447</c:v>
                </c:pt>
                <c:pt idx="3">
                  <c:v>6638</c:v>
                </c:pt>
                <c:pt idx="4">
                  <c:v>6638</c:v>
                </c:pt>
                <c:pt idx="5">
                  <c:v>6675.5</c:v>
                </c:pt>
                <c:pt idx="6">
                  <c:v>6675.5</c:v>
                </c:pt>
                <c:pt idx="7">
                  <c:v>6682.5</c:v>
                </c:pt>
                <c:pt idx="8">
                  <c:v>6687</c:v>
                </c:pt>
                <c:pt idx="9">
                  <c:v>7515</c:v>
                </c:pt>
                <c:pt idx="10">
                  <c:v>7699.5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67-4D9D-9A00-920CC5F717B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1384</c:v>
                </c:pt>
                <c:pt idx="2">
                  <c:v>1447</c:v>
                </c:pt>
                <c:pt idx="3">
                  <c:v>6638</c:v>
                </c:pt>
                <c:pt idx="4">
                  <c:v>6638</c:v>
                </c:pt>
                <c:pt idx="5">
                  <c:v>6675.5</c:v>
                </c:pt>
                <c:pt idx="6">
                  <c:v>6675.5</c:v>
                </c:pt>
                <c:pt idx="7">
                  <c:v>6682.5</c:v>
                </c:pt>
                <c:pt idx="8">
                  <c:v>6687</c:v>
                </c:pt>
                <c:pt idx="9">
                  <c:v>7515</c:v>
                </c:pt>
                <c:pt idx="10">
                  <c:v>7699.5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67-4D9D-9A00-920CC5F717B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1384</c:v>
                </c:pt>
                <c:pt idx="2">
                  <c:v>1447</c:v>
                </c:pt>
                <c:pt idx="3">
                  <c:v>6638</c:v>
                </c:pt>
                <c:pt idx="4">
                  <c:v>6638</c:v>
                </c:pt>
                <c:pt idx="5">
                  <c:v>6675.5</c:v>
                </c:pt>
                <c:pt idx="6">
                  <c:v>6675.5</c:v>
                </c:pt>
                <c:pt idx="7">
                  <c:v>6682.5</c:v>
                </c:pt>
                <c:pt idx="8">
                  <c:v>6687</c:v>
                </c:pt>
                <c:pt idx="9">
                  <c:v>7515</c:v>
                </c:pt>
                <c:pt idx="10">
                  <c:v>7699.5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-1.8397819110574025E-2</c:v>
                </c:pt>
                <c:pt idx="1">
                  <c:v>-1.2965787408950614E-2</c:v>
                </c:pt>
                <c:pt idx="2">
                  <c:v>-1.2718520069931629E-2</c:v>
                </c:pt>
                <c:pt idx="3">
                  <c:v>7.6555236895532904E-3</c:v>
                </c:pt>
                <c:pt idx="4">
                  <c:v>7.6555236895532904E-3</c:v>
                </c:pt>
                <c:pt idx="5">
                  <c:v>7.8027066294455438E-3</c:v>
                </c:pt>
                <c:pt idx="6">
                  <c:v>7.8027066294455438E-3</c:v>
                </c:pt>
                <c:pt idx="7">
                  <c:v>7.8301807782254311E-3</c:v>
                </c:pt>
                <c:pt idx="8">
                  <c:v>7.8478427310125012E-3</c:v>
                </c:pt>
                <c:pt idx="9">
                  <c:v>1.1097642043833442E-2</c:v>
                </c:pt>
                <c:pt idx="10">
                  <c:v>1.1821782108103328E-2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67-4D9D-9A00-920CC5F717B8}"/>
            </c:ext>
          </c:extLst>
        </c:ser>
        <c:ser>
          <c:idx val="8"/>
          <c:order val="8"/>
          <c:tx>
            <c:strRef>
              <c:f>'A (old)'!$S$20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1384</c:v>
                </c:pt>
                <c:pt idx="2">
                  <c:v>1447</c:v>
                </c:pt>
                <c:pt idx="3">
                  <c:v>6638</c:v>
                </c:pt>
                <c:pt idx="4">
                  <c:v>6638</c:v>
                </c:pt>
                <c:pt idx="5">
                  <c:v>6675.5</c:v>
                </c:pt>
                <c:pt idx="6">
                  <c:v>6675.5</c:v>
                </c:pt>
                <c:pt idx="7">
                  <c:v>6682.5</c:v>
                </c:pt>
                <c:pt idx="8">
                  <c:v>6687</c:v>
                </c:pt>
                <c:pt idx="9">
                  <c:v>7515</c:v>
                </c:pt>
                <c:pt idx="10">
                  <c:v>7699.5</c:v>
                </c:pt>
              </c:numCache>
            </c:numRef>
          </c:xVal>
          <c:yVal>
            <c:numRef>
              <c:f>'A (old)'!$S$21:$S$999</c:f>
              <c:numCache>
                <c:formatCode>General</c:formatCode>
                <c:ptCount val="979"/>
                <c:pt idx="10">
                  <c:v>6.2999999958265107E-2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67-4D9D-9A00-920CC5F71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452768"/>
        <c:axId val="1"/>
      </c:scatterChart>
      <c:valAx>
        <c:axId val="658452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452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398496240601504"/>
          <c:y val="0.92375366568914952"/>
          <c:w val="0.94436090225563907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V1001 Cas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1383</c:v>
                </c:pt>
                <c:pt idx="2">
                  <c:v>1446</c:v>
                </c:pt>
                <c:pt idx="3">
                  <c:v>6634</c:v>
                </c:pt>
                <c:pt idx="4">
                  <c:v>6634</c:v>
                </c:pt>
                <c:pt idx="5">
                  <c:v>6671.5</c:v>
                </c:pt>
                <c:pt idx="6">
                  <c:v>6671.5</c:v>
                </c:pt>
                <c:pt idx="7">
                  <c:v>6678.5</c:v>
                </c:pt>
                <c:pt idx="8">
                  <c:v>6683</c:v>
                </c:pt>
                <c:pt idx="9">
                  <c:v>7510.45</c:v>
                </c:pt>
                <c:pt idx="10">
                  <c:v>7694.95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  <c:pt idx="3">
                  <c:v>1.7160599999551778</c:v>
                </c:pt>
                <c:pt idx="4">
                  <c:v>1.7161799999521463</c:v>
                </c:pt>
                <c:pt idx="5">
                  <c:v>1.7234299999618088</c:v>
                </c:pt>
                <c:pt idx="6">
                  <c:v>1.7262999999584281</c:v>
                </c:pt>
                <c:pt idx="7">
                  <c:v>1.7306899999530287</c:v>
                </c:pt>
                <c:pt idx="8">
                  <c:v>1.7288499999558553</c:v>
                </c:pt>
                <c:pt idx="9">
                  <c:v>1.9631399999561836</c:v>
                </c:pt>
                <c:pt idx="10">
                  <c:v>2.0140399999581859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62-44E1-BF72-6040B28B4E4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1383</c:v>
                </c:pt>
                <c:pt idx="2">
                  <c:v>1446</c:v>
                </c:pt>
                <c:pt idx="3">
                  <c:v>6634</c:v>
                </c:pt>
                <c:pt idx="4">
                  <c:v>6634</c:v>
                </c:pt>
                <c:pt idx="5">
                  <c:v>6671.5</c:v>
                </c:pt>
                <c:pt idx="6">
                  <c:v>6671.5</c:v>
                </c:pt>
                <c:pt idx="7">
                  <c:v>6678.5</c:v>
                </c:pt>
                <c:pt idx="8">
                  <c:v>6683</c:v>
                </c:pt>
                <c:pt idx="9">
                  <c:v>7510.45</c:v>
                </c:pt>
                <c:pt idx="10">
                  <c:v>7694.95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0.40809999994962709</c:v>
                </c:pt>
                <c:pt idx="2">
                  <c:v>0.40069999995466787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62-44E1-BF72-6040B28B4E4E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1383</c:v>
                </c:pt>
                <c:pt idx="2">
                  <c:v>1446</c:v>
                </c:pt>
                <c:pt idx="3">
                  <c:v>6634</c:v>
                </c:pt>
                <c:pt idx="4">
                  <c:v>6634</c:v>
                </c:pt>
                <c:pt idx="5">
                  <c:v>6671.5</c:v>
                </c:pt>
                <c:pt idx="6">
                  <c:v>6671.5</c:v>
                </c:pt>
                <c:pt idx="7">
                  <c:v>6678.5</c:v>
                </c:pt>
                <c:pt idx="8">
                  <c:v>6683</c:v>
                </c:pt>
                <c:pt idx="9">
                  <c:v>7510.45</c:v>
                </c:pt>
                <c:pt idx="10">
                  <c:v>7694.95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62-44E1-BF72-6040B28B4E4E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1383</c:v>
                </c:pt>
                <c:pt idx="2">
                  <c:v>1446</c:v>
                </c:pt>
                <c:pt idx="3">
                  <c:v>6634</c:v>
                </c:pt>
                <c:pt idx="4">
                  <c:v>6634</c:v>
                </c:pt>
                <c:pt idx="5">
                  <c:v>6671.5</c:v>
                </c:pt>
                <c:pt idx="6">
                  <c:v>6671.5</c:v>
                </c:pt>
                <c:pt idx="7">
                  <c:v>6678.5</c:v>
                </c:pt>
                <c:pt idx="8">
                  <c:v>6683</c:v>
                </c:pt>
                <c:pt idx="9">
                  <c:v>7510.45</c:v>
                </c:pt>
                <c:pt idx="10">
                  <c:v>7694.95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62-44E1-BF72-6040B28B4E4E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1383</c:v>
                </c:pt>
                <c:pt idx="2">
                  <c:v>1446</c:v>
                </c:pt>
                <c:pt idx="3">
                  <c:v>6634</c:v>
                </c:pt>
                <c:pt idx="4">
                  <c:v>6634</c:v>
                </c:pt>
                <c:pt idx="5">
                  <c:v>6671.5</c:v>
                </c:pt>
                <c:pt idx="6">
                  <c:v>6671.5</c:v>
                </c:pt>
                <c:pt idx="7">
                  <c:v>6678.5</c:v>
                </c:pt>
                <c:pt idx="8">
                  <c:v>6683</c:v>
                </c:pt>
                <c:pt idx="9">
                  <c:v>7510.45</c:v>
                </c:pt>
                <c:pt idx="10">
                  <c:v>7694.95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62-44E1-BF72-6040B28B4E4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1383</c:v>
                </c:pt>
                <c:pt idx="2">
                  <c:v>1446</c:v>
                </c:pt>
                <c:pt idx="3">
                  <c:v>6634</c:v>
                </c:pt>
                <c:pt idx="4">
                  <c:v>6634</c:v>
                </c:pt>
                <c:pt idx="5">
                  <c:v>6671.5</c:v>
                </c:pt>
                <c:pt idx="6">
                  <c:v>6671.5</c:v>
                </c:pt>
                <c:pt idx="7">
                  <c:v>6678.5</c:v>
                </c:pt>
                <c:pt idx="8">
                  <c:v>6683</c:v>
                </c:pt>
                <c:pt idx="9">
                  <c:v>7510.45</c:v>
                </c:pt>
                <c:pt idx="10">
                  <c:v>7694.95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62-44E1-BF72-6040B28B4E4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2E-3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2.9999999999999997E-4</c:v>
                  </c:pt>
                  <c:pt idx="7">
                    <c:v>5.9999999999999995E-4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1383</c:v>
                </c:pt>
                <c:pt idx="2">
                  <c:v>1446</c:v>
                </c:pt>
                <c:pt idx="3">
                  <c:v>6634</c:v>
                </c:pt>
                <c:pt idx="4">
                  <c:v>6634</c:v>
                </c:pt>
                <c:pt idx="5">
                  <c:v>6671.5</c:v>
                </c:pt>
                <c:pt idx="6">
                  <c:v>6671.5</c:v>
                </c:pt>
                <c:pt idx="7">
                  <c:v>6678.5</c:v>
                </c:pt>
                <c:pt idx="8">
                  <c:v>6683</c:v>
                </c:pt>
                <c:pt idx="9">
                  <c:v>7510.45</c:v>
                </c:pt>
                <c:pt idx="10">
                  <c:v>7694.95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62-44E1-BF72-6040B28B4E4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1383</c:v>
                </c:pt>
                <c:pt idx="2">
                  <c:v>1446</c:v>
                </c:pt>
                <c:pt idx="3">
                  <c:v>6634</c:v>
                </c:pt>
                <c:pt idx="4">
                  <c:v>6634</c:v>
                </c:pt>
                <c:pt idx="5">
                  <c:v>6671.5</c:v>
                </c:pt>
                <c:pt idx="6">
                  <c:v>6671.5</c:v>
                </c:pt>
                <c:pt idx="7">
                  <c:v>6678.5</c:v>
                </c:pt>
                <c:pt idx="8">
                  <c:v>6683</c:v>
                </c:pt>
                <c:pt idx="9">
                  <c:v>7510.45</c:v>
                </c:pt>
                <c:pt idx="10">
                  <c:v>7694.95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2.3859045487716113E-2</c:v>
                </c:pt>
                <c:pt idx="1">
                  <c:v>0.37827121042637157</c:v>
                </c:pt>
                <c:pt idx="2">
                  <c:v>0.39441579928474851</c:v>
                </c:pt>
                <c:pt idx="3">
                  <c:v>1.723909878606328</c:v>
                </c:pt>
                <c:pt idx="4">
                  <c:v>1.723909878606328</c:v>
                </c:pt>
                <c:pt idx="5">
                  <c:v>1.7335197529267905</c:v>
                </c:pt>
                <c:pt idx="6">
                  <c:v>1.7335197529267905</c:v>
                </c:pt>
                <c:pt idx="7">
                  <c:v>1.7353135961332768</c:v>
                </c:pt>
                <c:pt idx="8">
                  <c:v>1.7364667810517322</c:v>
                </c:pt>
                <c:pt idx="9">
                  <c:v>1.9485118612241765</c:v>
                </c:pt>
                <c:pt idx="10">
                  <c:v>1.9957924428808518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62-44E1-BF72-6040B28B4E4E}"/>
            </c:ext>
          </c:extLst>
        </c:ser>
        <c:ser>
          <c:idx val="8"/>
          <c:order val="8"/>
          <c:tx>
            <c:strRef>
              <c:f>'A (2)'!$S$20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1383</c:v>
                </c:pt>
                <c:pt idx="2">
                  <c:v>1446</c:v>
                </c:pt>
                <c:pt idx="3">
                  <c:v>6634</c:v>
                </c:pt>
                <c:pt idx="4">
                  <c:v>6634</c:v>
                </c:pt>
                <c:pt idx="5">
                  <c:v>6671.5</c:v>
                </c:pt>
                <c:pt idx="6">
                  <c:v>6671.5</c:v>
                </c:pt>
                <c:pt idx="7">
                  <c:v>6678.5</c:v>
                </c:pt>
                <c:pt idx="8">
                  <c:v>6683</c:v>
                </c:pt>
                <c:pt idx="9">
                  <c:v>7510.45</c:v>
                </c:pt>
                <c:pt idx="10">
                  <c:v>7694.95</c:v>
                </c:pt>
              </c:numCache>
            </c:numRef>
          </c:xVal>
          <c:yVal>
            <c:numRef>
              <c:f>'A (2)'!$S$21:$S$999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62-44E1-BF72-6040B28B4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457088"/>
        <c:axId val="1"/>
      </c:scatterChart>
      <c:valAx>
        <c:axId val="658457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457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646616541353384"/>
          <c:y val="0.92375366568914952"/>
          <c:w val="0.93684210526315792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54275" name="Chart 1">
          <a:extLst>
            <a:ext uri="{FF2B5EF4-FFF2-40B4-BE49-F238E27FC236}">
              <a16:creationId xmlns:a16="http://schemas.microsoft.com/office/drawing/2014/main" id="{CAB9AD62-0D5D-2767-6934-DB0BB48F9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10</xdr:col>
      <xdr:colOff>381000</xdr:colOff>
      <xdr:row>20</xdr:row>
      <xdr:rowOff>28575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EF2CC11-B837-38D5-2C91-07CB82F9F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16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FD3FCB-240B-415E-A22B-1BAEDBC13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16</xdr:col>
      <xdr:colOff>200025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A3E038E2-87D4-7668-E223-7DCE04607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60.pdf" TargetMode="External"/><Relationship Id="rId12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215" TargetMode="External"/><Relationship Id="rId6" Type="http://schemas.openxmlformats.org/officeDocument/2006/relationships/hyperlink" Target="http://var.astro.cz/oejv/issues/oejv0160.pdf" TargetMode="External"/><Relationship Id="rId11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S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8" t="s">
        <v>40</v>
      </c>
    </row>
    <row r="2" spans="1:6" x14ac:dyDescent="0.2">
      <c r="A2" t="s">
        <v>23</v>
      </c>
      <c r="B2" t="s">
        <v>37</v>
      </c>
      <c r="C2" s="2"/>
      <c r="D2" s="2"/>
    </row>
    <row r="3" spans="1:6" ht="13.5" thickBot="1" x14ac:dyDescent="0.25">
      <c r="A3" s="40" t="s">
        <v>53</v>
      </c>
    </row>
    <row r="4" spans="1:6" ht="14.25" thickTop="1" thickBot="1" x14ac:dyDescent="0.25">
      <c r="A4" s="29" t="s">
        <v>38</v>
      </c>
      <c r="C4" s="7">
        <v>52937.085500000045</v>
      </c>
      <c r="D4" s="8">
        <v>0.42880000000000001</v>
      </c>
    </row>
    <row r="5" spans="1:6" ht="13.5" thickTop="1" x14ac:dyDescent="0.2">
      <c r="A5" s="10" t="s">
        <v>30</v>
      </c>
      <c r="B5" s="11"/>
      <c r="C5" s="12">
        <v>-9.5</v>
      </c>
      <c r="D5" s="11" t="s">
        <v>31</v>
      </c>
    </row>
    <row r="6" spans="1:6" x14ac:dyDescent="0.2">
      <c r="A6" s="4" t="s">
        <v>0</v>
      </c>
    </row>
    <row r="7" spans="1:6" x14ac:dyDescent="0.2">
      <c r="A7" t="s">
        <v>1</v>
      </c>
      <c r="C7">
        <v>56238.268248992776</v>
      </c>
    </row>
    <row r="8" spans="1:6" x14ac:dyDescent="0.2">
      <c r="A8" t="s">
        <v>2</v>
      </c>
      <c r="C8">
        <v>0.42905626331521235</v>
      </c>
    </row>
    <row r="9" spans="1:6" x14ac:dyDescent="0.2">
      <c r="A9" s="26" t="s">
        <v>36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6" x14ac:dyDescent="0.2">
      <c r="A11" s="11" t="s">
        <v>14</v>
      </c>
      <c r="B11" s="11"/>
      <c r="C11" s="23">
        <f ca="1">INTERCEPT(INDIRECT($D$9):G992,INDIRECT($C$9):F992)</f>
        <v>-4.4517863981171583E-3</v>
      </c>
      <c r="D11" s="2"/>
      <c r="E11" s="11"/>
    </row>
    <row r="12" spans="1:6" x14ac:dyDescent="0.2">
      <c r="A12" s="11" t="s">
        <v>15</v>
      </c>
      <c r="B12" s="11"/>
      <c r="C12" s="23">
        <f ca="1">SLOPE(INDIRECT($D$9):G992,INDIRECT($C$9):F992)</f>
        <v>2.6368279198447884E-6</v>
      </c>
      <c r="D12" s="2"/>
      <c r="E12" s="11"/>
    </row>
    <row r="13" spans="1:6" x14ac:dyDescent="0.2">
      <c r="A13" s="11" t="s">
        <v>18</v>
      </c>
      <c r="B13" s="11"/>
      <c r="C13" s="2" t="s">
        <v>12</v>
      </c>
    </row>
    <row r="14" spans="1:6" x14ac:dyDescent="0.2">
      <c r="A14" s="11"/>
      <c r="B14" s="11"/>
      <c r="C14" s="11"/>
    </row>
    <row r="15" spans="1:6" x14ac:dyDescent="0.2">
      <c r="A15" s="13" t="s">
        <v>16</v>
      </c>
      <c r="B15" s="11"/>
      <c r="C15" s="14">
        <f ca="1">(C7+C11)+(C8+C12)*INT(MAX(F21:F3533))</f>
        <v>59492.246495891886</v>
      </c>
      <c r="E15" s="15" t="s">
        <v>41</v>
      </c>
      <c r="F15" s="12">
        <v>1</v>
      </c>
    </row>
    <row r="16" spans="1:6" x14ac:dyDescent="0.2">
      <c r="A16" s="17" t="s">
        <v>3</v>
      </c>
      <c r="B16" s="11"/>
      <c r="C16" s="18">
        <f ca="1">+C8+C12</f>
        <v>0.42905890014313219</v>
      </c>
      <c r="E16" s="15" t="s">
        <v>32</v>
      </c>
      <c r="F16" s="16">
        <f ca="1">NOW()+15018.5+$C$5/24</f>
        <v>60329.738078009257</v>
      </c>
    </row>
    <row r="17" spans="1:19" ht="13.5" thickBot="1" x14ac:dyDescent="0.25">
      <c r="A17" s="15" t="s">
        <v>29</v>
      </c>
      <c r="B17" s="11"/>
      <c r="C17" s="11">
        <f>COUNT(C21:C2191)</f>
        <v>21</v>
      </c>
      <c r="E17" s="15" t="s">
        <v>42</v>
      </c>
      <c r="F17" s="16">
        <f ca="1">ROUND(2*(F16-$C$7)/$C$8,0)/2+F15</f>
        <v>9537</v>
      </c>
    </row>
    <row r="18" spans="1:19" ht="14.25" thickTop="1" thickBot="1" x14ac:dyDescent="0.25">
      <c r="A18" s="17" t="s">
        <v>4</v>
      </c>
      <c r="B18" s="11"/>
      <c r="C18" s="20">
        <f ca="1">+C15</f>
        <v>59492.246495891886</v>
      </c>
      <c r="D18" s="21">
        <f ca="1">+C16</f>
        <v>0.42905890014313219</v>
      </c>
      <c r="E18" s="15" t="s">
        <v>33</v>
      </c>
      <c r="F18" s="25">
        <f ca="1">ROUND(2*(F16-$C$15)/$C$16,0)/2+F15</f>
        <v>1953</v>
      </c>
    </row>
    <row r="19" spans="1:19" ht="13.5" thickTop="1" x14ac:dyDescent="0.2">
      <c r="E19" s="15" t="s">
        <v>34</v>
      </c>
      <c r="F19" s="19">
        <f ca="1">+$C$15+$C$16*F18-15018.5-$C$5/24</f>
        <v>45312.094361204756</v>
      </c>
    </row>
    <row r="20" spans="1:19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61</v>
      </c>
      <c r="I20" s="6" t="s">
        <v>64</v>
      </c>
      <c r="J20" s="6" t="s">
        <v>58</v>
      </c>
      <c r="K20" s="6" t="s">
        <v>56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  <c r="S20" s="39" t="s">
        <v>50</v>
      </c>
    </row>
    <row r="21" spans="1:19" x14ac:dyDescent="0.2">
      <c r="A21" s="30" t="s">
        <v>39</v>
      </c>
      <c r="C21" s="9">
        <v>52937.085500000045</v>
      </c>
      <c r="D21" s="9" t="s">
        <v>12</v>
      </c>
      <c r="E21">
        <f t="shared" ref="E21:E37" si="0">+(C21-C$7)/C$8</f>
        <v>-7694.0556081976356</v>
      </c>
      <c r="F21">
        <f t="shared" ref="F21:F37" si="1">ROUND(2*E21,0)/2</f>
        <v>-7694</v>
      </c>
      <c r="G21">
        <f>+C21-(C$7+F21*C$8)</f>
        <v>-2.3859045490098651E-2</v>
      </c>
      <c r="K21">
        <f>+G21</f>
        <v>-2.3859045490098651E-2</v>
      </c>
      <c r="O21">
        <f t="shared" ref="O21:O37" ca="1" si="2">+C$11+C$12*$F21</f>
        <v>-2.4739540413402962E-2</v>
      </c>
      <c r="Q21" s="1">
        <f t="shared" ref="Q21:Q37" si="3">+C21-15018.5</f>
        <v>37918.585500000045</v>
      </c>
    </row>
    <row r="22" spans="1:19" x14ac:dyDescent="0.2">
      <c r="A22" s="31" t="s">
        <v>43</v>
      </c>
      <c r="B22" s="32" t="s">
        <v>44</v>
      </c>
      <c r="C22" s="31">
        <v>53530.523999999998</v>
      </c>
      <c r="D22" s="31">
        <v>3.0000000000000001E-3</v>
      </c>
      <c r="E22">
        <f t="shared" si="0"/>
        <v>-6310.9304781398678</v>
      </c>
      <c r="F22">
        <f t="shared" si="1"/>
        <v>-6311</v>
      </c>
      <c r="O22">
        <f t="shared" ca="1" si="2"/>
        <v>-2.1092807400257617E-2</v>
      </c>
      <c r="Q22" s="1">
        <f t="shared" si="3"/>
        <v>38512.023999999998</v>
      </c>
      <c r="S22">
        <f>+C22-(C$7+F22*C$8)</f>
        <v>2.9828789527527988E-2</v>
      </c>
    </row>
    <row r="23" spans="1:19" x14ac:dyDescent="0.2">
      <c r="A23" s="31" t="s">
        <v>43</v>
      </c>
      <c r="B23" s="32" t="s">
        <v>44</v>
      </c>
      <c r="C23" s="31">
        <v>53557.531000000003</v>
      </c>
      <c r="D23" s="31">
        <v>2E-3</v>
      </c>
      <c r="E23">
        <f t="shared" si="0"/>
        <v>-6247.9853534344766</v>
      </c>
      <c r="F23">
        <f t="shared" si="1"/>
        <v>-6248</v>
      </c>
      <c r="O23">
        <f t="shared" ca="1" si="2"/>
        <v>-2.0926687241307397E-2</v>
      </c>
      <c r="Q23" s="1">
        <f t="shared" si="3"/>
        <v>38539.031000000003</v>
      </c>
      <c r="S23">
        <f>+C23-(C$7+F23*C$8)</f>
        <v>6.2842006736900657E-3</v>
      </c>
    </row>
    <row r="24" spans="1:19" x14ac:dyDescent="0.2">
      <c r="A24" s="42" t="s">
        <v>51</v>
      </c>
      <c r="B24" s="42"/>
      <c r="C24" s="43">
        <v>55491.2736</v>
      </c>
      <c r="D24" s="43">
        <v>5.9999999999999995E-4</v>
      </c>
      <c r="E24">
        <f t="shared" si="0"/>
        <v>-1741.0179336876031</v>
      </c>
      <c r="F24">
        <f t="shared" si="1"/>
        <v>-1741</v>
      </c>
      <c r="G24">
        <f t="shared" ref="G24:G37" si="4">+C24-(C$7+F24*C$8)</f>
        <v>-7.6945609907852486E-3</v>
      </c>
      <c r="J24">
        <f>+G24</f>
        <v>-7.6945609907852486E-3</v>
      </c>
      <c r="O24">
        <f t="shared" ca="1" si="2"/>
        <v>-9.0425038065669351E-3</v>
      </c>
      <c r="Q24" s="1">
        <f t="shared" si="3"/>
        <v>40472.7736</v>
      </c>
    </row>
    <row r="25" spans="1:19" x14ac:dyDescent="0.2">
      <c r="A25" s="59" t="s">
        <v>71</v>
      </c>
      <c r="B25" s="60" t="s">
        <v>44</v>
      </c>
      <c r="C25" s="59">
        <v>55491.484100000001</v>
      </c>
      <c r="D25" s="59" t="s">
        <v>64</v>
      </c>
      <c r="E25">
        <f t="shared" si="0"/>
        <v>-1740.5273220406025</v>
      </c>
      <c r="F25">
        <f t="shared" si="1"/>
        <v>-1740.5</v>
      </c>
      <c r="G25">
        <f t="shared" si="4"/>
        <v>-1.172269264498027E-2</v>
      </c>
      <c r="K25">
        <f>+G25</f>
        <v>-1.172269264498027E-2</v>
      </c>
      <c r="O25">
        <f t="shared" ca="1" si="2"/>
        <v>-9.0411853926070131E-3</v>
      </c>
      <c r="Q25" s="1">
        <f t="shared" si="3"/>
        <v>40472.984100000001</v>
      </c>
    </row>
    <row r="26" spans="1:19" x14ac:dyDescent="0.2">
      <c r="A26" s="42" t="s">
        <v>51</v>
      </c>
      <c r="B26" s="42"/>
      <c r="C26" s="43">
        <v>55491.488100000002</v>
      </c>
      <c r="D26" s="43">
        <v>1.1000000000000001E-3</v>
      </c>
      <c r="E26">
        <f t="shared" si="0"/>
        <v>-1740.5179992539593</v>
      </c>
      <c r="F26">
        <f t="shared" si="1"/>
        <v>-1740.5</v>
      </c>
      <c r="G26">
        <f t="shared" si="4"/>
        <v>-7.7226926441653632E-3</v>
      </c>
      <c r="J26">
        <f>+G26</f>
        <v>-7.7226926441653632E-3</v>
      </c>
      <c r="O26">
        <f t="shared" ca="1" si="2"/>
        <v>-9.0411853926070131E-3</v>
      </c>
      <c r="Q26" s="1">
        <f t="shared" si="3"/>
        <v>40472.988100000002</v>
      </c>
    </row>
    <row r="27" spans="1:19" x14ac:dyDescent="0.2">
      <c r="A27" s="33" t="s">
        <v>48</v>
      </c>
      <c r="B27" s="34" t="s">
        <v>44</v>
      </c>
      <c r="C27" s="35">
        <v>55783.460760000002</v>
      </c>
      <c r="D27" s="35">
        <v>2.0000000000000001E-4</v>
      </c>
      <c r="E27">
        <f t="shared" si="0"/>
        <v>-1060.0182956859508</v>
      </c>
      <c r="F27">
        <f t="shared" si="1"/>
        <v>-1060</v>
      </c>
      <c r="G27">
        <f t="shared" si="4"/>
        <v>-7.8498786460841075E-3</v>
      </c>
      <c r="K27">
        <f t="shared" ref="K27:K34" si="5">+G27</f>
        <v>-7.8498786460841075E-3</v>
      </c>
      <c r="O27">
        <f t="shared" ca="1" si="2"/>
        <v>-7.2468239931526342E-3</v>
      </c>
      <c r="Q27" s="1">
        <f t="shared" si="3"/>
        <v>40764.960760000002</v>
      </c>
    </row>
    <row r="28" spans="1:19" x14ac:dyDescent="0.2">
      <c r="A28" s="33" t="s">
        <v>48</v>
      </c>
      <c r="B28" s="34" t="s">
        <v>44</v>
      </c>
      <c r="C28" s="35">
        <v>55783.460879999999</v>
      </c>
      <c r="D28" s="35">
        <v>2.0000000000000001E-4</v>
      </c>
      <c r="E28">
        <f t="shared" si="0"/>
        <v>-1060.0180160023585</v>
      </c>
      <c r="F28">
        <f t="shared" si="1"/>
        <v>-1060</v>
      </c>
      <c r="G28">
        <f t="shared" si="4"/>
        <v>-7.7298786491155624E-3</v>
      </c>
      <c r="K28">
        <f t="shared" si="5"/>
        <v>-7.7298786491155624E-3</v>
      </c>
      <c r="O28">
        <f t="shared" ca="1" si="2"/>
        <v>-7.2468239931526342E-3</v>
      </c>
      <c r="Q28" s="1">
        <f t="shared" si="3"/>
        <v>40764.960879999999</v>
      </c>
    </row>
    <row r="29" spans="1:19" x14ac:dyDescent="0.2">
      <c r="A29" s="33" t="s">
        <v>48</v>
      </c>
      <c r="B29" s="34" t="s">
        <v>47</v>
      </c>
      <c r="C29" s="35">
        <v>55799.548130000003</v>
      </c>
      <c r="D29" s="35">
        <v>1E-3</v>
      </c>
      <c r="E29">
        <f t="shared" si="0"/>
        <v>-1022.5235161535463</v>
      </c>
      <c r="F29">
        <f t="shared" si="1"/>
        <v>-1022.5</v>
      </c>
      <c r="G29">
        <f t="shared" si="4"/>
        <v>-1.0089752970088739E-2</v>
      </c>
      <c r="K29">
        <f t="shared" si="5"/>
        <v>-1.0089752970088739E-2</v>
      </c>
      <c r="O29">
        <f t="shared" ca="1" si="2"/>
        <v>-7.1479429461584545E-3</v>
      </c>
      <c r="Q29" s="1">
        <f t="shared" si="3"/>
        <v>40781.048130000003</v>
      </c>
    </row>
    <row r="30" spans="1:19" x14ac:dyDescent="0.2">
      <c r="A30" s="33" t="s">
        <v>48</v>
      </c>
      <c r="B30" s="34" t="s">
        <v>47</v>
      </c>
      <c r="C30" s="35">
        <v>55799.550999999999</v>
      </c>
      <c r="D30" s="35">
        <v>2.9999999999999997E-4</v>
      </c>
      <c r="E30">
        <f t="shared" si="0"/>
        <v>-1022.5168270541391</v>
      </c>
      <c r="F30">
        <f t="shared" si="1"/>
        <v>-1022.5</v>
      </c>
      <c r="G30">
        <f t="shared" si="4"/>
        <v>-7.2197529734694399E-3</v>
      </c>
      <c r="K30">
        <f t="shared" si="5"/>
        <v>-7.2197529734694399E-3</v>
      </c>
      <c r="O30">
        <f t="shared" ca="1" si="2"/>
        <v>-7.1479429461584545E-3</v>
      </c>
      <c r="Q30" s="1">
        <f t="shared" si="3"/>
        <v>40781.050999999999</v>
      </c>
    </row>
    <row r="31" spans="1:19" x14ac:dyDescent="0.2">
      <c r="A31" s="33" t="s">
        <v>48</v>
      </c>
      <c r="B31" s="34" t="s">
        <v>47</v>
      </c>
      <c r="C31" s="35">
        <v>55802.556989999997</v>
      </c>
      <c r="D31" s="35">
        <v>5.9999999999999995E-4</v>
      </c>
      <c r="E31">
        <f t="shared" si="0"/>
        <v>-1015.5107762001758</v>
      </c>
      <c r="F31">
        <f t="shared" si="1"/>
        <v>-1015.5</v>
      </c>
      <c r="G31">
        <f t="shared" si="4"/>
        <v>-4.6235961781349033E-3</v>
      </c>
      <c r="K31">
        <f t="shared" si="5"/>
        <v>-4.6235961781349033E-3</v>
      </c>
      <c r="O31">
        <f t="shared" ca="1" si="2"/>
        <v>-7.1294851507195407E-3</v>
      </c>
      <c r="Q31" s="1">
        <f t="shared" si="3"/>
        <v>40784.056989999997</v>
      </c>
    </row>
    <row r="32" spans="1:19" x14ac:dyDescent="0.2">
      <c r="A32" s="33" t="s">
        <v>48</v>
      </c>
      <c r="B32" s="34" t="s">
        <v>44</v>
      </c>
      <c r="C32" s="35">
        <v>55804.484750000003</v>
      </c>
      <c r="D32" s="35">
        <v>2.9999999999999997E-4</v>
      </c>
      <c r="E32">
        <f t="shared" si="0"/>
        <v>-1011.0177524062551</v>
      </c>
      <c r="F32">
        <f t="shared" si="1"/>
        <v>-1011</v>
      </c>
      <c r="G32">
        <f t="shared" si="4"/>
        <v>-7.6167810912011191E-3</v>
      </c>
      <c r="K32">
        <f t="shared" si="5"/>
        <v>-7.6167810912011191E-3</v>
      </c>
      <c r="O32">
        <f t="shared" ca="1" si="2"/>
        <v>-7.1176194250802387E-3</v>
      </c>
      <c r="Q32" s="1">
        <f t="shared" si="3"/>
        <v>40785.984750000003</v>
      </c>
    </row>
    <row r="33" spans="1:17" x14ac:dyDescent="0.2">
      <c r="A33" s="59" t="s">
        <v>104</v>
      </c>
      <c r="B33" s="60" t="s">
        <v>47</v>
      </c>
      <c r="C33" s="59">
        <v>55873.351699999999</v>
      </c>
      <c r="D33" s="59" t="s">
        <v>64</v>
      </c>
      <c r="E33">
        <f t="shared" si="0"/>
        <v>-850.50978203454213</v>
      </c>
      <c r="F33">
        <f t="shared" si="1"/>
        <v>-850.5</v>
      </c>
      <c r="G33">
        <f t="shared" si="4"/>
        <v>-4.1970431848312728E-3</v>
      </c>
      <c r="K33">
        <f t="shared" si="5"/>
        <v>-4.1970431848312728E-3</v>
      </c>
      <c r="O33">
        <f t="shared" ca="1" si="2"/>
        <v>-6.6944085439451509E-3</v>
      </c>
      <c r="Q33" s="1">
        <f t="shared" si="3"/>
        <v>40854.851699999999</v>
      </c>
    </row>
    <row r="34" spans="1:17" x14ac:dyDescent="0.2">
      <c r="A34" s="59" t="s">
        <v>104</v>
      </c>
      <c r="B34" s="60" t="s">
        <v>44</v>
      </c>
      <c r="C34" s="59">
        <v>55873.563699999999</v>
      </c>
      <c r="D34" s="59" t="s">
        <v>64</v>
      </c>
      <c r="E34">
        <f t="shared" si="0"/>
        <v>-850.01567434255446</v>
      </c>
      <c r="F34">
        <f t="shared" si="1"/>
        <v>-850</v>
      </c>
      <c r="G34">
        <f t="shared" si="4"/>
        <v>-6.7251748478156514E-3</v>
      </c>
      <c r="K34">
        <f t="shared" si="5"/>
        <v>-6.7251748478156514E-3</v>
      </c>
      <c r="O34">
        <f t="shared" ca="1" si="2"/>
        <v>-6.6930901299852279E-3</v>
      </c>
      <c r="Q34" s="1">
        <f t="shared" si="3"/>
        <v>40855.063699999999</v>
      </c>
    </row>
    <row r="35" spans="1:17" x14ac:dyDescent="0.2">
      <c r="A35" s="33" t="s">
        <v>49</v>
      </c>
      <c r="B35" s="34" t="s">
        <v>44</v>
      </c>
      <c r="C35" s="35">
        <v>56159.529600000002</v>
      </c>
      <c r="D35" s="35">
        <v>2.9999999999999997E-4</v>
      </c>
      <c r="E35">
        <f t="shared" si="0"/>
        <v>-183.51590624590762</v>
      </c>
      <c r="F35">
        <f t="shared" si="1"/>
        <v>-183.5</v>
      </c>
      <c r="G35">
        <f t="shared" si="4"/>
        <v>-6.8246744340285659E-3</v>
      </c>
      <c r="J35">
        <f>+G35</f>
        <v>-6.8246744340285659E-3</v>
      </c>
      <c r="O35">
        <f t="shared" ca="1" si="2"/>
        <v>-4.9356443214086769E-3</v>
      </c>
      <c r="Q35" s="1">
        <f t="shared" si="3"/>
        <v>41141.029600000002</v>
      </c>
    </row>
    <row r="36" spans="1:17" x14ac:dyDescent="0.2">
      <c r="A36" s="36" t="s">
        <v>46</v>
      </c>
      <c r="B36" s="37" t="s">
        <v>47</v>
      </c>
      <c r="C36" s="38">
        <v>56238.694100000001</v>
      </c>
      <c r="D36" s="38">
        <v>6.9999999999999999E-4</v>
      </c>
      <c r="E36">
        <f t="shared" si="0"/>
        <v>0.99252952033503905</v>
      </c>
      <c r="F36">
        <f t="shared" si="1"/>
        <v>1</v>
      </c>
      <c r="G36">
        <f t="shared" si="4"/>
        <v>-3.2052560927695595E-3</v>
      </c>
      <c r="K36">
        <f>+G36</f>
        <v>-3.2052560927695595E-3</v>
      </c>
      <c r="O36">
        <f t="shared" ca="1" si="2"/>
        <v>-4.4491495701973133E-3</v>
      </c>
      <c r="Q36" s="1">
        <f t="shared" si="3"/>
        <v>41220.194100000001</v>
      </c>
    </row>
    <row r="37" spans="1:17" x14ac:dyDescent="0.2">
      <c r="A37" s="44" t="s">
        <v>52</v>
      </c>
      <c r="B37" s="45"/>
      <c r="C37" s="44">
        <v>56965.516799999998</v>
      </c>
      <c r="D37" s="44">
        <v>5.1000000000000004E-3</v>
      </c>
      <c r="E37">
        <f t="shared" si="0"/>
        <v>1694.9957690582373</v>
      </c>
      <c r="F37">
        <f t="shared" si="1"/>
        <v>1695</v>
      </c>
      <c r="G37">
        <f t="shared" si="4"/>
        <v>-1.815312061808072E-3</v>
      </c>
      <c r="J37">
        <f>+G37</f>
        <v>-1.815312061808072E-3</v>
      </c>
      <c r="O37">
        <f t="shared" ca="1" si="2"/>
        <v>1.7636926019757963E-5</v>
      </c>
      <c r="Q37" s="1">
        <f t="shared" si="3"/>
        <v>41947.016799999998</v>
      </c>
    </row>
    <row r="38" spans="1:17" x14ac:dyDescent="0.2">
      <c r="A38" s="61" t="s">
        <v>121</v>
      </c>
      <c r="B38" s="62" t="s">
        <v>44</v>
      </c>
      <c r="C38" s="63">
        <v>59490.958200000226</v>
      </c>
      <c r="D38" s="9"/>
      <c r="E38">
        <f t="shared" ref="E38:E41" si="6">+(C38-C$7)/C$8</f>
        <v>7581.033605883561</v>
      </c>
      <c r="F38">
        <f t="shared" ref="F38:F41" si="7">ROUND(2*E38,0)/2</f>
        <v>7581</v>
      </c>
      <c r="G38">
        <f t="shared" ref="G38:G41" si="8">+C38-(C$7+F38*C$8)</f>
        <v>1.4418814826058224E-2</v>
      </c>
      <c r="J38">
        <f t="shared" ref="J38:J41" si="9">+G38</f>
        <v>1.4418814826058224E-2</v>
      </c>
      <c r="O38">
        <f t="shared" ref="O38:O41" ca="1" si="10">+C$11+C$12*$F38</f>
        <v>1.5538006062226181E-2</v>
      </c>
      <c r="Q38" s="1">
        <f t="shared" ref="Q38:Q41" si="11">+C38-15018.5</f>
        <v>44472.458200000226</v>
      </c>
    </row>
    <row r="39" spans="1:17" x14ac:dyDescent="0.2">
      <c r="A39" s="61" t="s">
        <v>121</v>
      </c>
      <c r="B39" s="62" t="s">
        <v>47</v>
      </c>
      <c r="C39" s="63">
        <v>59491.173200000077</v>
      </c>
      <c r="D39" s="9"/>
      <c r="E39">
        <f t="shared" si="6"/>
        <v>7581.5347056651835</v>
      </c>
      <c r="F39">
        <f t="shared" si="7"/>
        <v>7581.5</v>
      </c>
      <c r="G39">
        <f t="shared" si="8"/>
        <v>1.4890683021803852E-2</v>
      </c>
      <c r="J39">
        <f t="shared" si="9"/>
        <v>1.4890683021803852E-2</v>
      </c>
      <c r="O39">
        <f t="shared" ca="1" si="10"/>
        <v>1.5539324476186106E-2</v>
      </c>
      <c r="Q39" s="1">
        <f t="shared" si="11"/>
        <v>44472.673200000077</v>
      </c>
    </row>
    <row r="40" spans="1:17" x14ac:dyDescent="0.2">
      <c r="A40" s="61" t="s">
        <v>121</v>
      </c>
      <c r="B40" s="62" t="s">
        <v>44</v>
      </c>
      <c r="C40" s="63">
        <v>59492.217000000179</v>
      </c>
      <c r="D40" s="9"/>
      <c r="E40">
        <f t="shared" si="6"/>
        <v>7583.9674868394659</v>
      </c>
      <c r="F40">
        <f t="shared" si="7"/>
        <v>7584</v>
      </c>
      <c r="G40">
        <f t="shared" si="8"/>
        <v>-1.3949975167633966E-2</v>
      </c>
      <c r="J40">
        <f t="shared" si="9"/>
        <v>-1.3949975167633966E-2</v>
      </c>
      <c r="O40">
        <f t="shared" ca="1" si="10"/>
        <v>1.5545916545985717E-2</v>
      </c>
      <c r="Q40" s="1">
        <f t="shared" si="11"/>
        <v>44473.717000000179</v>
      </c>
    </row>
    <row r="41" spans="1:17" x14ac:dyDescent="0.2">
      <c r="A41" s="61" t="s">
        <v>121</v>
      </c>
      <c r="B41" s="62" t="s">
        <v>47</v>
      </c>
      <c r="C41" s="63">
        <v>59492.279000000097</v>
      </c>
      <c r="D41" s="9"/>
      <c r="E41">
        <f t="shared" si="6"/>
        <v>7584.1119900322155</v>
      </c>
      <c r="F41">
        <f t="shared" si="7"/>
        <v>7584</v>
      </c>
      <c r="G41">
        <f t="shared" si="8"/>
        <v>4.8050024750409648E-2</v>
      </c>
      <c r="J41">
        <f t="shared" si="9"/>
        <v>4.8050024750409648E-2</v>
      </c>
      <c r="O41">
        <f t="shared" ca="1" si="10"/>
        <v>1.5545916545985717E-2</v>
      </c>
      <c r="Q41" s="1">
        <f t="shared" si="11"/>
        <v>44473.779000000097</v>
      </c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B58B-AA29-484F-9F51-4AFFA9BD43CD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40"/>
  <sheetViews>
    <sheetView workbookViewId="0">
      <selection activeCell="A3" sqref="A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28" t="s">
        <v>40</v>
      </c>
    </row>
    <row r="2" spans="1:7" x14ac:dyDescent="0.2">
      <c r="A2" t="s">
        <v>23</v>
      </c>
      <c r="B2" t="s">
        <v>37</v>
      </c>
      <c r="C2" s="2"/>
      <c r="D2" s="2"/>
    </row>
    <row r="3" spans="1:7" ht="13.5" thickBot="1" x14ac:dyDescent="0.25">
      <c r="A3" s="40"/>
    </row>
    <row r="4" spans="1:7" ht="14.25" thickTop="1" thickBot="1" x14ac:dyDescent="0.25">
      <c r="A4" s="29" t="s">
        <v>38</v>
      </c>
      <c r="C4" s="7">
        <v>52937.085500000045</v>
      </c>
      <c r="D4" s="8">
        <v>0.42880000000000001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52937.085500000045</v>
      </c>
    </row>
    <row r="8" spans="1:7" x14ac:dyDescent="0.2">
      <c r="A8" t="s">
        <v>2</v>
      </c>
      <c r="C8">
        <f>+D4</f>
        <v>0.42880000000000001</v>
      </c>
    </row>
    <row r="9" spans="1:7" x14ac:dyDescent="0.2">
      <c r="A9" s="10" t="s">
        <v>30</v>
      </c>
      <c r="B9" s="11"/>
      <c r="C9" s="12">
        <v>8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>
        <f ca="1">INTERCEPT(INDIRECT($G$11):G992,INDIRECT($F$11):F992)</f>
        <v>-1.8397819110574025E-2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SLOPE(INDIRECT($G$11):G992,INDIRECT($F$11):F992)</f>
        <v>3.9248783971267422E-6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15" t="s">
        <v>41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60330.467244675929</v>
      </c>
    </row>
    <row r="15" spans="1:7" x14ac:dyDescent="0.2">
      <c r="A15" s="13" t="s">
        <v>16</v>
      </c>
      <c r="B15" s="11"/>
      <c r="C15" s="14">
        <f ca="1">(C7+C11)+(C8+C12)*INT(MAX(F21:F3533))</f>
        <v>56238.42851981971</v>
      </c>
      <c r="D15" s="15" t="s">
        <v>42</v>
      </c>
      <c r="E15" s="16">
        <f ca="1">ROUND(2*(E14-$C$7)/$C$8,0)/2+E13</f>
        <v>17243</v>
      </c>
    </row>
    <row r="16" spans="1:7" x14ac:dyDescent="0.2">
      <c r="A16" s="17" t="s">
        <v>3</v>
      </c>
      <c r="B16" s="11"/>
      <c r="C16" s="18">
        <f ca="1">+C8+C12</f>
        <v>0.42880392487839714</v>
      </c>
      <c r="D16" s="15" t="s">
        <v>33</v>
      </c>
      <c r="E16" s="25">
        <f ca="1">ROUND(2*(E14-$C$15)/$C$16,0)/2+E13</f>
        <v>9544</v>
      </c>
    </row>
    <row r="17" spans="1:19" ht="13.5" thickBot="1" x14ac:dyDescent="0.25">
      <c r="A17" s="15" t="s">
        <v>29</v>
      </c>
      <c r="B17" s="11"/>
      <c r="C17" s="11">
        <f>COUNT(C21:C2191)</f>
        <v>11</v>
      </c>
      <c r="D17" s="15" t="s">
        <v>34</v>
      </c>
      <c r="E17" s="19">
        <f ca="1">+$C$15+$C$16*E16-15018.5-$C$9/24</f>
        <v>45312.099845525794</v>
      </c>
    </row>
    <row r="18" spans="1:19" ht="14.25" thickTop="1" thickBot="1" x14ac:dyDescent="0.25">
      <c r="A18" s="17" t="s">
        <v>4</v>
      </c>
      <c r="B18" s="11"/>
      <c r="C18" s="20">
        <f ca="1">+C15</f>
        <v>56238.42851981971</v>
      </c>
      <c r="D18" s="21">
        <f ca="1">+C16</f>
        <v>0.42880392487839714</v>
      </c>
      <c r="E18" s="22" t="s">
        <v>35</v>
      </c>
    </row>
    <row r="19" spans="1:19" ht="13.5" thickTop="1" x14ac:dyDescent="0.2">
      <c r="A19" s="26" t="s">
        <v>36</v>
      </c>
      <c r="E19" s="27">
        <v>21</v>
      </c>
      <c r="R19">
        <f ca="1">SQRT(SUM(R21:R31)/(COUNT(R21:R31)-1))</f>
        <v>1.8572120945029819E-2</v>
      </c>
    </row>
    <row r="20" spans="1:19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  <c r="S20" s="39" t="s">
        <v>50</v>
      </c>
    </row>
    <row r="21" spans="1:19" x14ac:dyDescent="0.2">
      <c r="A21" s="30" t="s">
        <v>39</v>
      </c>
      <c r="C21" s="9">
        <v>52937.085500000045</v>
      </c>
      <c r="D21" s="9" t="s">
        <v>12</v>
      </c>
      <c r="E21">
        <f t="shared" ref="E21:E29" si="0">+(C21-C$7)/C$8</f>
        <v>0</v>
      </c>
      <c r="F21">
        <f>ROUND(2*E21,0)/2</f>
        <v>0</v>
      </c>
      <c r="G21">
        <f t="shared" ref="G21:G29" si="1">+C21-(C$7+F21*C$8)</f>
        <v>0</v>
      </c>
      <c r="H21">
        <f>+G21</f>
        <v>0</v>
      </c>
      <c r="O21">
        <f t="shared" ref="O21:O29" ca="1" si="2">+C$11+C$12*$F21</f>
        <v>-1.8397819110574025E-2</v>
      </c>
      <c r="Q21" s="1">
        <f t="shared" ref="Q21:Q29" si="3">+C21-15018.5</f>
        <v>37918.585500000045</v>
      </c>
      <c r="R21">
        <f ca="1">+(O21-G21)^2</f>
        <v>3.3847974802540283E-4</v>
      </c>
    </row>
    <row r="22" spans="1:19" x14ac:dyDescent="0.2">
      <c r="A22" s="31" t="s">
        <v>43</v>
      </c>
      <c r="B22" s="32" t="s">
        <v>44</v>
      </c>
      <c r="C22" s="31">
        <v>53530.523999999998</v>
      </c>
      <c r="D22" s="31">
        <v>3.0000000000000001E-3</v>
      </c>
      <c r="E22">
        <f t="shared" si="0"/>
        <v>1383.9517257461589</v>
      </c>
      <c r="F22">
        <f>ROUND(2*E22,0)/2</f>
        <v>1384</v>
      </c>
      <c r="G22">
        <f t="shared" si="1"/>
        <v>-2.070000004459871E-2</v>
      </c>
      <c r="I22">
        <f>+G22</f>
        <v>-2.070000004459871E-2</v>
      </c>
      <c r="O22">
        <f t="shared" ca="1" si="2"/>
        <v>-1.2965787408950614E-2</v>
      </c>
      <c r="Q22" s="1">
        <f t="shared" si="3"/>
        <v>38512.023999999998</v>
      </c>
      <c r="R22">
        <f t="shared" ref="R22:R30" ca="1" si="4">+(O22-G22)^2</f>
        <v>5.9818045093418659E-5</v>
      </c>
    </row>
    <row r="23" spans="1:19" x14ac:dyDescent="0.2">
      <c r="A23" s="31" t="s">
        <v>43</v>
      </c>
      <c r="B23" s="32" t="s">
        <v>44</v>
      </c>
      <c r="C23" s="31">
        <v>53557.531000000003</v>
      </c>
      <c r="D23" s="31">
        <v>2E-3</v>
      </c>
      <c r="E23">
        <f t="shared" si="0"/>
        <v>1446.934468283484</v>
      </c>
      <c r="F23">
        <f>ROUND(2*E23,0)/2</f>
        <v>1447</v>
      </c>
      <c r="G23">
        <f t="shared" si="1"/>
        <v>-2.8100000039557926E-2</v>
      </c>
      <c r="I23">
        <f>+G23</f>
        <v>-2.8100000039557926E-2</v>
      </c>
      <c r="O23">
        <f t="shared" ca="1" si="2"/>
        <v>-1.2718520069931629E-2</v>
      </c>
      <c r="Q23" s="1">
        <f t="shared" si="3"/>
        <v>38539.031000000003</v>
      </c>
      <c r="R23">
        <f t="shared" ca="1" si="4"/>
        <v>2.3658992605601501E-4</v>
      </c>
    </row>
    <row r="24" spans="1:19" x14ac:dyDescent="0.2">
      <c r="A24" s="33" t="s">
        <v>48</v>
      </c>
      <c r="B24" s="34" t="s">
        <v>44</v>
      </c>
      <c r="C24" s="35">
        <v>55783.460760000002</v>
      </c>
      <c r="D24" s="35">
        <v>2.0000000000000001E-4</v>
      </c>
      <c r="E24">
        <f t="shared" si="0"/>
        <v>6638.0020055969144</v>
      </c>
      <c r="F24">
        <f t="shared" ref="F24:F31" si="5">ROUND(2*E24,0)/2</f>
        <v>6638</v>
      </c>
      <c r="G24">
        <f t="shared" si="1"/>
        <v>8.599999564466998E-4</v>
      </c>
      <c r="H24">
        <f t="shared" ref="H24:H30" si="6">+G24</f>
        <v>8.599999564466998E-4</v>
      </c>
      <c r="O24">
        <f t="shared" ca="1" si="2"/>
        <v>7.6555236895532904E-3</v>
      </c>
      <c r="Q24" s="1">
        <f t="shared" si="3"/>
        <v>40764.960760000002</v>
      </c>
      <c r="R24">
        <f t="shared" ca="1" si="4"/>
        <v>4.6179142807214933E-5</v>
      </c>
    </row>
    <row r="25" spans="1:19" x14ac:dyDescent="0.2">
      <c r="A25" s="33" t="s">
        <v>48</v>
      </c>
      <c r="B25" s="34" t="s">
        <v>44</v>
      </c>
      <c r="C25" s="35">
        <v>55783.460879999999</v>
      </c>
      <c r="D25" s="35">
        <v>2.0000000000000001E-4</v>
      </c>
      <c r="E25">
        <f t="shared" si="0"/>
        <v>6638.0022854476538</v>
      </c>
      <c r="F25">
        <f t="shared" si="5"/>
        <v>6638</v>
      </c>
      <c r="G25">
        <f t="shared" si="1"/>
        <v>9.7999995341524482E-4</v>
      </c>
      <c r="H25">
        <f t="shared" si="6"/>
        <v>9.7999995341524482E-4</v>
      </c>
      <c r="O25">
        <f t="shared" ca="1" si="2"/>
        <v>7.6555236895532904E-3</v>
      </c>
      <c r="Q25" s="1">
        <f t="shared" si="3"/>
        <v>40764.960879999999</v>
      </c>
      <c r="R25">
        <f t="shared" ca="1" si="4"/>
        <v>4.4562617151742448E-5</v>
      </c>
    </row>
    <row r="26" spans="1:19" x14ac:dyDescent="0.2">
      <c r="A26" s="33" t="s">
        <v>48</v>
      </c>
      <c r="B26" s="34" t="s">
        <v>47</v>
      </c>
      <c r="C26" s="35">
        <v>55799.548130000003</v>
      </c>
      <c r="D26" s="35">
        <v>1E-3</v>
      </c>
      <c r="E26">
        <f t="shared" si="0"/>
        <v>6675.5191930969168</v>
      </c>
      <c r="F26">
        <f t="shared" si="5"/>
        <v>6675.5</v>
      </c>
      <c r="G26">
        <f t="shared" si="1"/>
        <v>8.2299999558017589E-3</v>
      </c>
      <c r="H26">
        <f t="shared" si="6"/>
        <v>8.2299999558017589E-3</v>
      </c>
      <c r="O26">
        <f t="shared" ca="1" si="2"/>
        <v>7.8027066294455438E-3</v>
      </c>
      <c r="Q26" s="1">
        <f t="shared" si="3"/>
        <v>40781.048130000003</v>
      </c>
      <c r="R26">
        <f t="shared" ca="1" si="4"/>
        <v>1.8257958674855893E-7</v>
      </c>
    </row>
    <row r="27" spans="1:19" x14ac:dyDescent="0.2">
      <c r="A27" s="33" t="s">
        <v>48</v>
      </c>
      <c r="B27" s="34" t="s">
        <v>47</v>
      </c>
      <c r="C27" s="35">
        <v>55799.550999999999</v>
      </c>
      <c r="D27" s="35">
        <v>2.9999999999999997E-4</v>
      </c>
      <c r="E27">
        <f t="shared" si="0"/>
        <v>6675.5258861939237</v>
      </c>
      <c r="F27">
        <f t="shared" si="5"/>
        <v>6675.5</v>
      </c>
      <c r="G27">
        <f t="shared" si="1"/>
        <v>1.1099999952421058E-2</v>
      </c>
      <c r="H27">
        <f t="shared" si="6"/>
        <v>1.1099999952421058E-2</v>
      </c>
      <c r="O27">
        <f t="shared" ca="1" si="2"/>
        <v>7.8027066294455438E-3</v>
      </c>
      <c r="Q27" s="1">
        <f t="shared" si="3"/>
        <v>40781.050999999999</v>
      </c>
      <c r="R27">
        <f t="shared" ca="1" si="4"/>
        <v>1.0872143257738909E-5</v>
      </c>
    </row>
    <row r="28" spans="1:19" x14ac:dyDescent="0.2">
      <c r="A28" s="33" t="s">
        <v>48</v>
      </c>
      <c r="B28" s="34" t="s">
        <v>47</v>
      </c>
      <c r="C28" s="35">
        <v>55802.556989999997</v>
      </c>
      <c r="D28" s="35">
        <v>5.9999999999999995E-4</v>
      </c>
      <c r="E28">
        <f t="shared" si="0"/>
        <v>6682.5361240670536</v>
      </c>
      <c r="F28">
        <f t="shared" si="5"/>
        <v>6682.5</v>
      </c>
      <c r="G28">
        <f t="shared" si="1"/>
        <v>1.5489999954297673E-2</v>
      </c>
      <c r="H28">
        <f t="shared" si="6"/>
        <v>1.5489999954297673E-2</v>
      </c>
      <c r="O28">
        <f t="shared" ca="1" si="2"/>
        <v>7.8301807782254311E-3</v>
      </c>
      <c r="Q28" s="1">
        <f t="shared" si="3"/>
        <v>40784.056989999997</v>
      </c>
      <c r="R28">
        <f t="shared" ca="1" si="4"/>
        <v>5.867282981012404E-5</v>
      </c>
    </row>
    <row r="29" spans="1:19" x14ac:dyDescent="0.2">
      <c r="A29" s="33" t="s">
        <v>48</v>
      </c>
      <c r="B29" s="34" t="s">
        <v>44</v>
      </c>
      <c r="C29" s="35">
        <v>55804.484750000003</v>
      </c>
      <c r="D29" s="35">
        <v>2.9999999999999997E-4</v>
      </c>
      <c r="E29">
        <f t="shared" si="0"/>
        <v>6687.0318330222908</v>
      </c>
      <c r="F29">
        <f t="shared" si="5"/>
        <v>6687</v>
      </c>
      <c r="G29">
        <f t="shared" si="1"/>
        <v>1.3649999957124237E-2</v>
      </c>
      <c r="H29">
        <f t="shared" si="6"/>
        <v>1.3649999957124237E-2</v>
      </c>
      <c r="O29">
        <f t="shared" ca="1" si="2"/>
        <v>7.8478427310125012E-3</v>
      </c>
      <c r="Q29" s="1">
        <f t="shared" si="3"/>
        <v>40785.984750000003</v>
      </c>
      <c r="R29">
        <f t="shared" ca="1" si="4"/>
        <v>3.3665028476520631E-5</v>
      </c>
    </row>
    <row r="30" spans="1:19" x14ac:dyDescent="0.2">
      <c r="A30" s="33" t="s">
        <v>49</v>
      </c>
      <c r="B30" s="34" t="s">
        <v>44</v>
      </c>
      <c r="C30" s="35">
        <v>56159.529600000002</v>
      </c>
      <c r="D30" s="35">
        <v>2.9999999999999997E-4</v>
      </c>
      <c r="E30">
        <f>+(C30-C$7)/C$8</f>
        <v>7515.0282182834817</v>
      </c>
      <c r="F30">
        <f t="shared" si="5"/>
        <v>7515</v>
      </c>
      <c r="G30">
        <f>+C30-(C$7+F30*C$8)</f>
        <v>1.2099999956262764E-2</v>
      </c>
      <c r="H30">
        <f t="shared" si="6"/>
        <v>1.2099999956262764E-2</v>
      </c>
      <c r="O30">
        <f ca="1">+C$11+C$12*$F30</f>
        <v>1.1097642043833442E-2</v>
      </c>
      <c r="Q30" s="1">
        <f>+C30-15018.5</f>
        <v>41141.029600000002</v>
      </c>
      <c r="R30">
        <f t="shared" ca="1" si="4"/>
        <v>1.0047213846096682E-6</v>
      </c>
    </row>
    <row r="31" spans="1:19" x14ac:dyDescent="0.2">
      <c r="A31" s="36" t="s">
        <v>46</v>
      </c>
      <c r="B31" s="37" t="s">
        <v>47</v>
      </c>
      <c r="C31" s="38">
        <v>56238.694100000001</v>
      </c>
      <c r="D31" s="38">
        <v>6.9999999999999999E-4</v>
      </c>
      <c r="E31">
        <f>+(C31-C$7)/C$8</f>
        <v>7699.6469216416881</v>
      </c>
      <c r="F31">
        <f t="shared" si="5"/>
        <v>7699.5</v>
      </c>
      <c r="O31">
        <f ca="1">+C$11+C$12*$F31</f>
        <v>1.1821782108103328E-2</v>
      </c>
      <c r="Q31" s="1">
        <f>+C31-15018.5</f>
        <v>41220.194100000001</v>
      </c>
      <c r="R31">
        <f ca="1">+(O31-S31)^2</f>
        <v>2.6192099823186179E-3</v>
      </c>
      <c r="S31">
        <f>+C31-(C$7+F31*C$8)</f>
        <v>6.2999999958265107E-2</v>
      </c>
    </row>
    <row r="32" spans="1:19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940"/>
  <sheetViews>
    <sheetView workbookViewId="0">
      <selection activeCell="A3" sqref="A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28" t="s">
        <v>40</v>
      </c>
    </row>
    <row r="2" spans="1:7" x14ac:dyDescent="0.2">
      <c r="A2" t="s">
        <v>23</v>
      </c>
      <c r="B2" t="s">
        <v>37</v>
      </c>
      <c r="C2" s="2"/>
      <c r="D2" s="2"/>
    </row>
    <row r="3" spans="1:7" ht="13.5" thickBot="1" x14ac:dyDescent="0.25">
      <c r="A3" s="40"/>
    </row>
    <row r="4" spans="1:7" ht="14.25" thickTop="1" thickBot="1" x14ac:dyDescent="0.25">
      <c r="A4" s="29" t="s">
        <v>38</v>
      </c>
      <c r="C4" s="7">
        <v>52937.085500000045</v>
      </c>
      <c r="D4" s="8">
        <v>0.42880000000000001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52937.085500000045</v>
      </c>
    </row>
    <row r="8" spans="1:7" x14ac:dyDescent="0.2">
      <c r="A8" t="s">
        <v>2</v>
      </c>
      <c r="C8">
        <f>+D4</f>
        <v>0.42880000000000001</v>
      </c>
    </row>
    <row r="9" spans="1:7" x14ac:dyDescent="0.2">
      <c r="A9" s="10" t="s">
        <v>30</v>
      </c>
      <c r="B9" s="11"/>
      <c r="C9" s="12">
        <v>8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>
        <f ca="1">INTERCEPT(INDIRECT($G$11):G992,INDIRECT($F$11):F992)</f>
        <v>2.3859045487716113E-2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SLOPE(INDIRECT($G$11):G992,INDIRECT($F$11):F992)</f>
        <v>2.5626331521233221E-4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15" t="s">
        <v>41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60330.467244675929</v>
      </c>
    </row>
    <row r="15" spans="1:7" x14ac:dyDescent="0.2">
      <c r="A15" s="13" t="s">
        <v>16</v>
      </c>
      <c r="B15" s="11"/>
      <c r="C15" s="14">
        <f ca="1">(C7+C11)+(C8+C12)*INT(MAX(F21:F3533))</f>
        <v>56238.268248992776</v>
      </c>
      <c r="D15" s="15" t="s">
        <v>42</v>
      </c>
      <c r="E15" s="16">
        <f ca="1">ROUND(2*(E14-$C$7)/$C$8,0)/2+E13</f>
        <v>17243</v>
      </c>
    </row>
    <row r="16" spans="1:7" x14ac:dyDescent="0.2">
      <c r="A16" s="17" t="s">
        <v>3</v>
      </c>
      <c r="B16" s="11"/>
      <c r="C16" s="18">
        <f ca="1">+C8+C12</f>
        <v>0.42905626331521235</v>
      </c>
      <c r="D16" s="15" t="s">
        <v>33</v>
      </c>
      <c r="E16" s="25">
        <f ca="1">ROUND(2*(E14-$C$15)/$C$16,0)/2+E13</f>
        <v>9538.5</v>
      </c>
    </row>
    <row r="17" spans="1:19" ht="13.5" thickBot="1" x14ac:dyDescent="0.25">
      <c r="A17" s="15" t="s">
        <v>29</v>
      </c>
      <c r="B17" s="11"/>
      <c r="C17" s="11">
        <f>COUNT(C21:C2191)</f>
        <v>11</v>
      </c>
      <c r="D17" s="15" t="s">
        <v>34</v>
      </c>
      <c r="E17" s="19">
        <f ca="1">+$C$15+$C$16*E16-15018.5-$C$9/24</f>
        <v>45311.988083291595</v>
      </c>
    </row>
    <row r="18" spans="1:19" ht="14.25" thickTop="1" thickBot="1" x14ac:dyDescent="0.25">
      <c r="A18" s="17" t="s">
        <v>4</v>
      </c>
      <c r="B18" s="11"/>
      <c r="C18" s="20">
        <f ca="1">+C15</f>
        <v>56238.268248992776</v>
      </c>
      <c r="D18" s="21">
        <f ca="1">+C16</f>
        <v>0.42905626331521235</v>
      </c>
      <c r="E18" s="22" t="s">
        <v>35</v>
      </c>
    </row>
    <row r="19" spans="1:19" ht="13.5" thickTop="1" x14ac:dyDescent="0.2">
      <c r="A19" s="26" t="s">
        <v>36</v>
      </c>
      <c r="E19" s="27">
        <v>21</v>
      </c>
      <c r="F19">
        <v>4</v>
      </c>
      <c r="R19">
        <f ca="1">SQRT(SUM(R21:R31)/(COUNT(R21:R31)-1))</f>
        <v>1.549241833506319E-2</v>
      </c>
    </row>
    <row r="20" spans="1:19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  <c r="S20" s="39" t="s">
        <v>50</v>
      </c>
    </row>
    <row r="21" spans="1:19" x14ac:dyDescent="0.2">
      <c r="A21" s="30" t="s">
        <v>39</v>
      </c>
      <c r="C21" s="9">
        <v>52937.085500000045</v>
      </c>
      <c r="D21" s="9" t="s">
        <v>12</v>
      </c>
      <c r="E21">
        <f t="shared" ref="E21:E29" si="0">+(C21-C$7)/C$8</f>
        <v>0</v>
      </c>
      <c r="F21">
        <f>ROUND(2*E21,0)/2</f>
        <v>0</v>
      </c>
      <c r="G21">
        <f t="shared" ref="G21:G29" si="1">+C21-(C$7+F21*C$8)</f>
        <v>0</v>
      </c>
      <c r="H21">
        <f>+G21</f>
        <v>0</v>
      </c>
      <c r="O21">
        <f t="shared" ref="O21:O29" ca="1" si="2">+C$11+C$12*$F21</f>
        <v>2.3859045487716113E-2</v>
      </c>
      <c r="Q21" s="1">
        <f t="shared" ref="Q21:Q29" si="3">+C21-15018.5</f>
        <v>37918.585500000045</v>
      </c>
      <c r="R21">
        <f t="shared" ref="R21:R29" ca="1" si="4">+(O21-G21)^2</f>
        <v>5.6925405158490664E-4</v>
      </c>
    </row>
    <row r="22" spans="1:19" x14ac:dyDescent="0.2">
      <c r="A22" s="31" t="s">
        <v>43</v>
      </c>
      <c r="B22" s="32" t="s">
        <v>44</v>
      </c>
      <c r="C22" s="31">
        <v>53530.523999999998</v>
      </c>
      <c r="D22" s="31">
        <v>3.0000000000000001E-3</v>
      </c>
      <c r="E22">
        <f t="shared" si="0"/>
        <v>1383.9517257461589</v>
      </c>
      <c r="F22" s="25">
        <f>ROUND(2*E22,0)/2-1</f>
        <v>1383</v>
      </c>
      <c r="G22">
        <f t="shared" si="1"/>
        <v>0.40809999994962709</v>
      </c>
      <c r="I22">
        <f>+G22</f>
        <v>0.40809999994962709</v>
      </c>
      <c r="O22">
        <f t="shared" ca="1" si="2"/>
        <v>0.37827121042637157</v>
      </c>
      <c r="Q22" s="1">
        <f t="shared" si="3"/>
        <v>38512.023999999998</v>
      </c>
      <c r="R22">
        <f t="shared" ca="1" si="4"/>
        <v>8.8975668442267805E-4</v>
      </c>
    </row>
    <row r="23" spans="1:19" x14ac:dyDescent="0.2">
      <c r="A23" s="31" t="s">
        <v>43</v>
      </c>
      <c r="B23" s="32" t="s">
        <v>44</v>
      </c>
      <c r="C23" s="31">
        <v>53557.531000000003</v>
      </c>
      <c r="D23" s="31">
        <v>2E-3</v>
      </c>
      <c r="E23">
        <f t="shared" si="0"/>
        <v>1446.934468283484</v>
      </c>
      <c r="F23" s="25">
        <f>ROUND(2*E23,0)/2-1</f>
        <v>1446</v>
      </c>
      <c r="G23">
        <f t="shared" si="1"/>
        <v>0.40069999995466787</v>
      </c>
      <c r="I23">
        <f>+G23</f>
        <v>0.40069999995466787</v>
      </c>
      <c r="O23">
        <f t="shared" ca="1" si="2"/>
        <v>0.39441579928474851</v>
      </c>
      <c r="Q23" s="1">
        <f t="shared" si="3"/>
        <v>38539.031000000003</v>
      </c>
      <c r="R23">
        <f t="shared" ca="1" si="4"/>
        <v>3.9491178059814931E-5</v>
      </c>
    </row>
    <row r="24" spans="1:19" x14ac:dyDescent="0.2">
      <c r="A24" s="33" t="s">
        <v>48</v>
      </c>
      <c r="B24" s="34" t="s">
        <v>44</v>
      </c>
      <c r="C24" s="35">
        <v>55783.460760000002</v>
      </c>
      <c r="D24" s="35">
        <v>2.0000000000000001E-4</v>
      </c>
      <c r="E24">
        <f t="shared" si="0"/>
        <v>6638.0020055969144</v>
      </c>
      <c r="F24" s="41">
        <f t="shared" ref="F24:F29" si="5">ROUND(2*E24,0)/2-F$19</f>
        <v>6634</v>
      </c>
      <c r="G24">
        <f t="shared" si="1"/>
        <v>1.7160599999551778</v>
      </c>
      <c r="H24">
        <f t="shared" ref="H24:H31" si="6">+G24</f>
        <v>1.7160599999551778</v>
      </c>
      <c r="O24">
        <f t="shared" ca="1" si="2"/>
        <v>1.723909878606328</v>
      </c>
      <c r="Q24" s="1">
        <f t="shared" si="3"/>
        <v>40764.960760000002</v>
      </c>
      <c r="R24">
        <f t="shared" ca="1" si="4"/>
        <v>6.16205948377849E-5</v>
      </c>
    </row>
    <row r="25" spans="1:19" x14ac:dyDescent="0.2">
      <c r="A25" s="33" t="s">
        <v>48</v>
      </c>
      <c r="B25" s="34" t="s">
        <v>44</v>
      </c>
      <c r="C25" s="35">
        <v>55783.460879999999</v>
      </c>
      <c r="D25" s="35">
        <v>2.0000000000000001E-4</v>
      </c>
      <c r="E25">
        <f t="shared" si="0"/>
        <v>6638.0022854476538</v>
      </c>
      <c r="F25" s="41">
        <f t="shared" si="5"/>
        <v>6634</v>
      </c>
      <c r="G25">
        <f t="shared" si="1"/>
        <v>1.7161799999521463</v>
      </c>
      <c r="H25">
        <f t="shared" si="6"/>
        <v>1.7161799999521463</v>
      </c>
      <c r="O25">
        <f t="shared" ca="1" si="2"/>
        <v>1.723909878606328</v>
      </c>
      <c r="Q25" s="1">
        <f t="shared" si="3"/>
        <v>40764.960879999999</v>
      </c>
      <c r="R25">
        <f t="shared" ca="1" si="4"/>
        <v>5.9751024008374388E-5</v>
      </c>
    </row>
    <row r="26" spans="1:19" x14ac:dyDescent="0.2">
      <c r="A26" s="33" t="s">
        <v>48</v>
      </c>
      <c r="B26" s="34" t="s">
        <v>47</v>
      </c>
      <c r="C26" s="35">
        <v>55799.548130000003</v>
      </c>
      <c r="D26" s="35">
        <v>1E-3</v>
      </c>
      <c r="E26">
        <f t="shared" si="0"/>
        <v>6675.5191930969168</v>
      </c>
      <c r="F26" s="41">
        <f t="shared" si="5"/>
        <v>6671.5</v>
      </c>
      <c r="G26">
        <f t="shared" si="1"/>
        <v>1.7234299999618088</v>
      </c>
      <c r="H26">
        <f t="shared" si="6"/>
        <v>1.7234299999618088</v>
      </c>
      <c r="O26">
        <f t="shared" ca="1" si="2"/>
        <v>1.7335197529267905</v>
      </c>
      <c r="Q26" s="1">
        <f t="shared" si="3"/>
        <v>40781.048130000003</v>
      </c>
      <c r="R26">
        <f t="shared" ca="1" si="4"/>
        <v>1.0180311489435727E-4</v>
      </c>
    </row>
    <row r="27" spans="1:19" x14ac:dyDescent="0.2">
      <c r="A27" s="33" t="s">
        <v>48</v>
      </c>
      <c r="B27" s="34" t="s">
        <v>47</v>
      </c>
      <c r="C27" s="35">
        <v>55799.550999999999</v>
      </c>
      <c r="D27" s="35">
        <v>2.9999999999999997E-4</v>
      </c>
      <c r="E27">
        <f t="shared" si="0"/>
        <v>6675.5258861939237</v>
      </c>
      <c r="F27" s="41">
        <f t="shared" si="5"/>
        <v>6671.5</v>
      </c>
      <c r="G27">
        <f t="shared" si="1"/>
        <v>1.7262999999584281</v>
      </c>
      <c r="H27">
        <f t="shared" si="6"/>
        <v>1.7262999999584281</v>
      </c>
      <c r="O27">
        <f t="shared" ca="1" si="2"/>
        <v>1.7335197529267905</v>
      </c>
      <c r="Q27" s="1">
        <f t="shared" si="3"/>
        <v>40781.050999999999</v>
      </c>
      <c r="R27">
        <f t="shared" ca="1" si="4"/>
        <v>5.2124832924177889E-5</v>
      </c>
    </row>
    <row r="28" spans="1:19" x14ac:dyDescent="0.2">
      <c r="A28" s="33" t="s">
        <v>48</v>
      </c>
      <c r="B28" s="34" t="s">
        <v>47</v>
      </c>
      <c r="C28" s="35">
        <v>55802.556989999997</v>
      </c>
      <c r="D28" s="35">
        <v>5.9999999999999995E-4</v>
      </c>
      <c r="E28">
        <f t="shared" si="0"/>
        <v>6682.5361240670536</v>
      </c>
      <c r="F28" s="41">
        <f t="shared" si="5"/>
        <v>6678.5</v>
      </c>
      <c r="G28">
        <f t="shared" si="1"/>
        <v>1.7306899999530287</v>
      </c>
      <c r="H28">
        <f t="shared" si="6"/>
        <v>1.7306899999530287</v>
      </c>
      <c r="O28">
        <f t="shared" ca="1" si="2"/>
        <v>1.7353135961332768</v>
      </c>
      <c r="Q28" s="1">
        <f t="shared" si="3"/>
        <v>40784.056989999997</v>
      </c>
      <c r="R28">
        <f t="shared" ca="1" si="4"/>
        <v>2.1377641638004839E-5</v>
      </c>
    </row>
    <row r="29" spans="1:19" x14ac:dyDescent="0.2">
      <c r="A29" s="33" t="s">
        <v>48</v>
      </c>
      <c r="B29" s="34" t="s">
        <v>44</v>
      </c>
      <c r="C29" s="35">
        <v>55804.484750000003</v>
      </c>
      <c r="D29" s="35">
        <v>2.9999999999999997E-4</v>
      </c>
      <c r="E29">
        <f t="shared" si="0"/>
        <v>6687.0318330222908</v>
      </c>
      <c r="F29" s="41">
        <f t="shared" si="5"/>
        <v>6683</v>
      </c>
      <c r="G29">
        <f t="shared" si="1"/>
        <v>1.7288499999558553</v>
      </c>
      <c r="H29">
        <f t="shared" si="6"/>
        <v>1.7288499999558553</v>
      </c>
      <c r="O29">
        <f t="shared" ca="1" si="2"/>
        <v>1.7364667810517322</v>
      </c>
      <c r="Q29" s="1">
        <f t="shared" si="3"/>
        <v>40785.984750000003</v>
      </c>
      <c r="R29">
        <f t="shared" ca="1" si="4"/>
        <v>5.8015354262508237E-5</v>
      </c>
    </row>
    <row r="30" spans="1:19" x14ac:dyDescent="0.2">
      <c r="A30" s="33" t="s">
        <v>49</v>
      </c>
      <c r="B30" s="34" t="s">
        <v>44</v>
      </c>
      <c r="C30" s="35">
        <v>56159.529600000002</v>
      </c>
      <c r="D30" s="35">
        <v>2.9999999999999997E-4</v>
      </c>
      <c r="E30">
        <f>+(C30-C$7)/C$8</f>
        <v>7515.0282182834817</v>
      </c>
      <c r="F30" s="41">
        <f>ROUND(2*E30,0)/2-4.55</f>
        <v>7510.45</v>
      </c>
      <c r="G30">
        <f>+C30-(C$7+F30*C$8)</f>
        <v>1.9631399999561836</v>
      </c>
      <c r="H30">
        <f t="shared" si="6"/>
        <v>1.9631399999561836</v>
      </c>
      <c r="O30">
        <f ca="1">+C$11+C$12*$F30</f>
        <v>1.9485118612241765</v>
      </c>
      <c r="Q30" s="1">
        <f>+C30-15018.5</f>
        <v>41141.029600000002</v>
      </c>
      <c r="R30">
        <f ca="1">+(O30-G30)^2</f>
        <v>2.1398244276284566E-4</v>
      </c>
    </row>
    <row r="31" spans="1:19" x14ac:dyDescent="0.2">
      <c r="A31" s="36" t="s">
        <v>46</v>
      </c>
      <c r="B31" s="37" t="s">
        <v>47</v>
      </c>
      <c r="C31" s="38">
        <v>56238.694100000001</v>
      </c>
      <c r="D31" s="38">
        <v>6.9999999999999999E-4</v>
      </c>
      <c r="E31">
        <f>+(C31-C$7)/C$8</f>
        <v>7699.6469216416881</v>
      </c>
      <c r="F31" s="41">
        <f>ROUND(2*E31,0)/2-4.55</f>
        <v>7694.95</v>
      </c>
      <c r="G31">
        <f>+C31-(C$7+F31*C$8)</f>
        <v>2.0140399999581859</v>
      </c>
      <c r="H31">
        <f t="shared" si="6"/>
        <v>2.0140399999581859</v>
      </c>
      <c r="O31">
        <f ca="1">+C$11+C$12*$F31</f>
        <v>1.9957924428808518</v>
      </c>
      <c r="Q31" s="1">
        <f>+C31-15018.5</f>
        <v>41220.194100000001</v>
      </c>
      <c r="R31">
        <f ca="1">+(O31-G31)^2</f>
        <v>3.3297333929056816E-4</v>
      </c>
    </row>
    <row r="32" spans="1:19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01"/>
  <sheetViews>
    <sheetView workbookViewId="0">
      <selection activeCell="A21" sqref="A21:D23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6" t="s">
        <v>54</v>
      </c>
      <c r="I1" s="47" t="s">
        <v>55</v>
      </c>
      <c r="J1" s="48" t="s">
        <v>56</v>
      </c>
    </row>
    <row r="2" spans="1:16" x14ac:dyDescent="0.2">
      <c r="I2" s="49" t="s">
        <v>57</v>
      </c>
      <c r="J2" s="50" t="s">
        <v>58</v>
      </c>
    </row>
    <row r="3" spans="1:16" x14ac:dyDescent="0.2">
      <c r="A3" s="51" t="s">
        <v>59</v>
      </c>
      <c r="I3" s="49" t="s">
        <v>60</v>
      </c>
      <c r="J3" s="50" t="s">
        <v>61</v>
      </c>
    </row>
    <row r="4" spans="1:16" x14ac:dyDescent="0.2">
      <c r="I4" s="49" t="s">
        <v>62</v>
      </c>
      <c r="J4" s="50" t="s">
        <v>61</v>
      </c>
    </row>
    <row r="5" spans="1:16" ht="13.5" thickBot="1" x14ac:dyDescent="0.25">
      <c r="I5" s="52" t="s">
        <v>63</v>
      </c>
      <c r="J5" s="53" t="s">
        <v>64</v>
      </c>
    </row>
    <row r="10" spans="1:16" ht="13.5" thickBot="1" x14ac:dyDescent="0.25"/>
    <row r="11" spans="1:16" ht="12.75" customHeight="1" thickBot="1" x14ac:dyDescent="0.25">
      <c r="A11" s="9" t="str">
        <f t="shared" ref="A11:A23" si="0">P11</f>
        <v>BAVM 215 </v>
      </c>
      <c r="B11" s="2" t="str">
        <f t="shared" ref="B11:B23" si="1">IF(H11=INT(H11),"I","II")</f>
        <v>II</v>
      </c>
      <c r="C11" s="9">
        <f t="shared" ref="C11:C23" si="2">1*G11</f>
        <v>55491.2736</v>
      </c>
      <c r="D11" s="11" t="str">
        <f t="shared" ref="D11:D23" si="3">VLOOKUP(F11,I$1:J$5,2,FALSE)</f>
        <v>vis</v>
      </c>
      <c r="E11" s="54">
        <f>VLOOKUP(C11,'Active 1'!C$21:E$973,3,FALSE)</f>
        <v>-1741.0179336876031</v>
      </c>
      <c r="F11" s="2" t="s">
        <v>63</v>
      </c>
      <c r="G11" s="11" t="str">
        <f t="shared" ref="G11:G23" si="4">MID(I11,3,LEN(I11)-3)</f>
        <v>55491.2736</v>
      </c>
      <c r="H11" s="9">
        <f t="shared" ref="H11:H23" si="5">1*K11</f>
        <v>5956.5</v>
      </c>
      <c r="I11" s="55" t="s">
        <v>65</v>
      </c>
      <c r="J11" s="56" t="s">
        <v>66</v>
      </c>
      <c r="K11" s="55">
        <v>5956.5</v>
      </c>
      <c r="L11" s="55" t="s">
        <v>67</v>
      </c>
      <c r="M11" s="56" t="s">
        <v>68</v>
      </c>
      <c r="N11" s="56" t="s">
        <v>69</v>
      </c>
      <c r="O11" s="57" t="s">
        <v>70</v>
      </c>
      <c r="P11" s="58" t="s">
        <v>71</v>
      </c>
    </row>
    <row r="12" spans="1:16" ht="12.75" customHeight="1" thickBot="1" x14ac:dyDescent="0.25">
      <c r="A12" s="9" t="str">
        <f t="shared" si="0"/>
        <v>OEJV 0160 </v>
      </c>
      <c r="B12" s="2" t="str">
        <f t="shared" si="1"/>
        <v>I</v>
      </c>
      <c r="C12" s="9">
        <f t="shared" si="2"/>
        <v>55783.460760000002</v>
      </c>
      <c r="D12" s="11" t="str">
        <f t="shared" si="3"/>
        <v>vis</v>
      </c>
      <c r="E12" s="54">
        <f>VLOOKUP(C12,'Active 1'!C$21:E$973,3,FALSE)</f>
        <v>-1060.0182956859508</v>
      </c>
      <c r="F12" s="2" t="s">
        <v>63</v>
      </c>
      <c r="G12" s="11" t="str">
        <f t="shared" si="4"/>
        <v>55783.46076</v>
      </c>
      <c r="H12" s="9">
        <f t="shared" si="5"/>
        <v>6638</v>
      </c>
      <c r="I12" s="55" t="s">
        <v>76</v>
      </c>
      <c r="J12" s="56" t="s">
        <v>77</v>
      </c>
      <c r="K12" s="55" t="s">
        <v>78</v>
      </c>
      <c r="L12" s="55" t="s">
        <v>79</v>
      </c>
      <c r="M12" s="56" t="s">
        <v>68</v>
      </c>
      <c r="N12" s="56" t="s">
        <v>80</v>
      </c>
      <c r="O12" s="57" t="s">
        <v>81</v>
      </c>
      <c r="P12" s="58" t="s">
        <v>82</v>
      </c>
    </row>
    <row r="13" spans="1:16" ht="12.75" customHeight="1" thickBot="1" x14ac:dyDescent="0.25">
      <c r="A13" s="9" t="str">
        <f t="shared" si="0"/>
        <v>OEJV 0160 </v>
      </c>
      <c r="B13" s="2" t="str">
        <f t="shared" si="1"/>
        <v>I</v>
      </c>
      <c r="C13" s="9">
        <f t="shared" si="2"/>
        <v>55783.460879999999</v>
      </c>
      <c r="D13" s="11" t="str">
        <f t="shared" si="3"/>
        <v>vis</v>
      </c>
      <c r="E13" s="54">
        <f>VLOOKUP(C13,'Active 1'!C$21:E$973,3,FALSE)</f>
        <v>-1060.0180160023585</v>
      </c>
      <c r="F13" s="2" t="s">
        <v>63</v>
      </c>
      <c r="G13" s="11" t="str">
        <f t="shared" si="4"/>
        <v>55783.46088</v>
      </c>
      <c r="H13" s="9">
        <f t="shared" si="5"/>
        <v>6638</v>
      </c>
      <c r="I13" s="55" t="s">
        <v>83</v>
      </c>
      <c r="J13" s="56" t="s">
        <v>77</v>
      </c>
      <c r="K13" s="55" t="s">
        <v>78</v>
      </c>
      <c r="L13" s="55" t="s">
        <v>84</v>
      </c>
      <c r="M13" s="56" t="s">
        <v>68</v>
      </c>
      <c r="N13" s="56" t="s">
        <v>44</v>
      </c>
      <c r="O13" s="57" t="s">
        <v>81</v>
      </c>
      <c r="P13" s="58" t="s">
        <v>82</v>
      </c>
    </row>
    <row r="14" spans="1:16" ht="12.75" customHeight="1" thickBot="1" x14ac:dyDescent="0.25">
      <c r="A14" s="9" t="str">
        <f t="shared" si="0"/>
        <v>OEJV 0160 </v>
      </c>
      <c r="B14" s="2" t="str">
        <f t="shared" si="1"/>
        <v>II</v>
      </c>
      <c r="C14" s="9">
        <f t="shared" si="2"/>
        <v>55799.548130000003</v>
      </c>
      <c r="D14" s="11" t="str">
        <f t="shared" si="3"/>
        <v>vis</v>
      </c>
      <c r="E14" s="54">
        <f>VLOOKUP(C14,'Active 1'!C$21:E$973,3,FALSE)</f>
        <v>-1022.5235161535463</v>
      </c>
      <c r="F14" s="2" t="s">
        <v>63</v>
      </c>
      <c r="G14" s="11" t="str">
        <f t="shared" si="4"/>
        <v>55799.54813</v>
      </c>
      <c r="H14" s="9">
        <f t="shared" si="5"/>
        <v>6675.5</v>
      </c>
      <c r="I14" s="55" t="s">
        <v>85</v>
      </c>
      <c r="J14" s="56" t="s">
        <v>86</v>
      </c>
      <c r="K14" s="55" t="s">
        <v>87</v>
      </c>
      <c r="L14" s="55" t="s">
        <v>88</v>
      </c>
      <c r="M14" s="56" t="s">
        <v>68</v>
      </c>
      <c r="N14" s="56" t="s">
        <v>80</v>
      </c>
      <c r="O14" s="57" t="s">
        <v>81</v>
      </c>
      <c r="P14" s="58" t="s">
        <v>82</v>
      </c>
    </row>
    <row r="15" spans="1:16" ht="12.75" customHeight="1" thickBot="1" x14ac:dyDescent="0.25">
      <c r="A15" s="9" t="str">
        <f t="shared" si="0"/>
        <v>OEJV 0160 </v>
      </c>
      <c r="B15" s="2" t="str">
        <f t="shared" si="1"/>
        <v>II</v>
      </c>
      <c r="C15" s="9">
        <f t="shared" si="2"/>
        <v>55799.550999999999</v>
      </c>
      <c r="D15" s="11" t="str">
        <f t="shared" si="3"/>
        <v>vis</v>
      </c>
      <c r="E15" s="54">
        <f>VLOOKUP(C15,'Active 1'!C$21:E$973,3,FALSE)</f>
        <v>-1022.5168270541391</v>
      </c>
      <c r="F15" s="2" t="s">
        <v>63</v>
      </c>
      <c r="G15" s="11" t="str">
        <f t="shared" si="4"/>
        <v>55799.551</v>
      </c>
      <c r="H15" s="9">
        <f t="shared" si="5"/>
        <v>6675.5</v>
      </c>
      <c r="I15" s="55" t="s">
        <v>89</v>
      </c>
      <c r="J15" s="56" t="s">
        <v>90</v>
      </c>
      <c r="K15" s="55" t="s">
        <v>87</v>
      </c>
      <c r="L15" s="55" t="s">
        <v>91</v>
      </c>
      <c r="M15" s="56" t="s">
        <v>68</v>
      </c>
      <c r="N15" s="56" t="s">
        <v>44</v>
      </c>
      <c r="O15" s="57" t="s">
        <v>81</v>
      </c>
      <c r="P15" s="58" t="s">
        <v>82</v>
      </c>
    </row>
    <row r="16" spans="1:16" ht="12.75" customHeight="1" thickBot="1" x14ac:dyDescent="0.25">
      <c r="A16" s="9" t="str">
        <f t="shared" si="0"/>
        <v>OEJV 0160 </v>
      </c>
      <c r="B16" s="2" t="str">
        <f t="shared" si="1"/>
        <v>II</v>
      </c>
      <c r="C16" s="9">
        <f t="shared" si="2"/>
        <v>55802.556989999997</v>
      </c>
      <c r="D16" s="11" t="str">
        <f t="shared" si="3"/>
        <v>vis</v>
      </c>
      <c r="E16" s="54">
        <f>VLOOKUP(C16,'Active 1'!C$21:E$973,3,FALSE)</f>
        <v>-1015.5107762001758</v>
      </c>
      <c r="F16" s="2" t="s">
        <v>63</v>
      </c>
      <c r="G16" s="11" t="str">
        <f t="shared" si="4"/>
        <v>55802.55699</v>
      </c>
      <c r="H16" s="9">
        <f t="shared" si="5"/>
        <v>6682.5</v>
      </c>
      <c r="I16" s="55" t="s">
        <v>92</v>
      </c>
      <c r="J16" s="56" t="s">
        <v>93</v>
      </c>
      <c r="K16" s="55" t="s">
        <v>94</v>
      </c>
      <c r="L16" s="55" t="s">
        <v>95</v>
      </c>
      <c r="M16" s="56" t="s">
        <v>68</v>
      </c>
      <c r="N16" s="56" t="s">
        <v>63</v>
      </c>
      <c r="O16" s="57" t="s">
        <v>81</v>
      </c>
      <c r="P16" s="58" t="s">
        <v>82</v>
      </c>
    </row>
    <row r="17" spans="1:16" ht="12.75" customHeight="1" thickBot="1" x14ac:dyDescent="0.25">
      <c r="A17" s="9" t="str">
        <f t="shared" si="0"/>
        <v>OEJV 0160 </v>
      </c>
      <c r="B17" s="2" t="str">
        <f t="shared" si="1"/>
        <v>I</v>
      </c>
      <c r="C17" s="9">
        <f t="shared" si="2"/>
        <v>55804.484750000003</v>
      </c>
      <c r="D17" s="11" t="str">
        <f t="shared" si="3"/>
        <v>vis</v>
      </c>
      <c r="E17" s="54">
        <f>VLOOKUP(C17,'Active 1'!C$21:E$973,3,FALSE)</f>
        <v>-1011.0177524062551</v>
      </c>
      <c r="F17" s="2" t="s">
        <v>63</v>
      </c>
      <c r="G17" s="11" t="str">
        <f t="shared" si="4"/>
        <v>55804.48475</v>
      </c>
      <c r="H17" s="9">
        <f t="shared" si="5"/>
        <v>6687</v>
      </c>
      <c r="I17" s="55" t="s">
        <v>96</v>
      </c>
      <c r="J17" s="56" t="s">
        <v>97</v>
      </c>
      <c r="K17" s="55" t="s">
        <v>98</v>
      </c>
      <c r="L17" s="55" t="s">
        <v>99</v>
      </c>
      <c r="M17" s="56" t="s">
        <v>68</v>
      </c>
      <c r="N17" s="56" t="s">
        <v>63</v>
      </c>
      <c r="O17" s="57" t="s">
        <v>81</v>
      </c>
      <c r="P17" s="58" t="s">
        <v>82</v>
      </c>
    </row>
    <row r="18" spans="1:16" ht="12.75" customHeight="1" thickBot="1" x14ac:dyDescent="0.25">
      <c r="A18" s="9" t="str">
        <f t="shared" si="0"/>
        <v>BAVM 231 </v>
      </c>
      <c r="B18" s="2" t="str">
        <f t="shared" si="1"/>
        <v>I</v>
      </c>
      <c r="C18" s="9">
        <f t="shared" si="2"/>
        <v>56159.529600000002</v>
      </c>
      <c r="D18" s="11" t="str">
        <f t="shared" si="3"/>
        <v>vis</v>
      </c>
      <c r="E18" s="54">
        <f>VLOOKUP(C18,'Active 1'!C$21:E$973,3,FALSE)</f>
        <v>-183.51590624590762</v>
      </c>
      <c r="F18" s="2" t="s">
        <v>63</v>
      </c>
      <c r="G18" s="11" t="str">
        <f t="shared" si="4"/>
        <v>56159.5296</v>
      </c>
      <c r="H18" s="9">
        <f t="shared" si="5"/>
        <v>7515</v>
      </c>
      <c r="I18" s="55" t="s">
        <v>108</v>
      </c>
      <c r="J18" s="56" t="s">
        <v>109</v>
      </c>
      <c r="K18" s="55">
        <v>7515</v>
      </c>
      <c r="L18" s="55" t="s">
        <v>110</v>
      </c>
      <c r="M18" s="56" t="s">
        <v>68</v>
      </c>
      <c r="N18" s="56" t="s">
        <v>69</v>
      </c>
      <c r="O18" s="57" t="s">
        <v>70</v>
      </c>
      <c r="P18" s="58" t="s">
        <v>111</v>
      </c>
    </row>
    <row r="19" spans="1:16" ht="12.75" customHeight="1" thickBot="1" x14ac:dyDescent="0.25">
      <c r="A19" s="9" t="str">
        <f t="shared" si="0"/>
        <v>IBVS 6042 </v>
      </c>
      <c r="B19" s="2" t="str">
        <f t="shared" si="1"/>
        <v>II</v>
      </c>
      <c r="C19" s="9">
        <f t="shared" si="2"/>
        <v>56238.694100000001</v>
      </c>
      <c r="D19" s="11" t="str">
        <f t="shared" si="3"/>
        <v>vis</v>
      </c>
      <c r="E19" s="54">
        <f>VLOOKUP(C19,'Active 1'!C$21:E$973,3,FALSE)</f>
        <v>0.99252952033503905</v>
      </c>
      <c r="F19" s="2" t="s">
        <v>63</v>
      </c>
      <c r="G19" s="11" t="str">
        <f t="shared" si="4"/>
        <v>56238.6941</v>
      </c>
      <c r="H19" s="9">
        <f t="shared" si="5"/>
        <v>7699.5</v>
      </c>
      <c r="I19" s="55" t="s">
        <v>112</v>
      </c>
      <c r="J19" s="56" t="s">
        <v>113</v>
      </c>
      <c r="K19" s="55">
        <v>7699.5</v>
      </c>
      <c r="L19" s="55" t="s">
        <v>114</v>
      </c>
      <c r="M19" s="56" t="s">
        <v>68</v>
      </c>
      <c r="N19" s="56" t="s">
        <v>63</v>
      </c>
      <c r="O19" s="57" t="s">
        <v>115</v>
      </c>
      <c r="P19" s="58" t="s">
        <v>116</v>
      </c>
    </row>
    <row r="20" spans="1:16" ht="12.75" customHeight="1" thickBot="1" x14ac:dyDescent="0.25">
      <c r="A20" s="9" t="str">
        <f t="shared" si="0"/>
        <v>BAVM 239 </v>
      </c>
      <c r="B20" s="2" t="str">
        <f t="shared" si="1"/>
        <v>II</v>
      </c>
      <c r="C20" s="9">
        <f t="shared" si="2"/>
        <v>56965.516799999998</v>
      </c>
      <c r="D20" s="11" t="str">
        <f t="shared" si="3"/>
        <v>vis</v>
      </c>
      <c r="E20" s="54">
        <f>VLOOKUP(C20,'Active 1'!C$21:E$973,3,FALSE)</f>
        <v>1694.9957690582373</v>
      </c>
      <c r="F20" s="2" t="s">
        <v>63</v>
      </c>
      <c r="G20" s="11" t="str">
        <f t="shared" si="4"/>
        <v>56965.5168</v>
      </c>
      <c r="H20" s="9">
        <f t="shared" si="5"/>
        <v>9394.5</v>
      </c>
      <c r="I20" s="55" t="s">
        <v>117</v>
      </c>
      <c r="J20" s="56" t="s">
        <v>118</v>
      </c>
      <c r="K20" s="55">
        <v>9394.5</v>
      </c>
      <c r="L20" s="55" t="s">
        <v>119</v>
      </c>
      <c r="M20" s="56" t="s">
        <v>68</v>
      </c>
      <c r="N20" s="56" t="s">
        <v>69</v>
      </c>
      <c r="O20" s="57" t="s">
        <v>70</v>
      </c>
      <c r="P20" s="58" t="s">
        <v>120</v>
      </c>
    </row>
    <row r="21" spans="1:16" ht="12.75" customHeight="1" thickBot="1" x14ac:dyDescent="0.25">
      <c r="A21" s="9" t="str">
        <f t="shared" si="0"/>
        <v>BAVM 215 </v>
      </c>
      <c r="B21" s="2" t="str">
        <f t="shared" si="1"/>
        <v>I</v>
      </c>
      <c r="C21" s="9">
        <f t="shared" si="2"/>
        <v>55491.484100000001</v>
      </c>
      <c r="D21" s="11" t="str">
        <f t="shared" si="3"/>
        <v>vis</v>
      </c>
      <c r="E21" s="54">
        <f>VLOOKUP(C21,'Active 1'!C$21:E$973,3,FALSE)</f>
        <v>-1740.5273220406025</v>
      </c>
      <c r="F21" s="2" t="s">
        <v>63</v>
      </c>
      <c r="G21" s="11" t="str">
        <f t="shared" si="4"/>
        <v>55491.4841</v>
      </c>
      <c r="H21" s="9">
        <f t="shared" si="5"/>
        <v>5957</v>
      </c>
      <c r="I21" s="55" t="s">
        <v>72</v>
      </c>
      <c r="J21" s="56" t="s">
        <v>73</v>
      </c>
      <c r="K21" s="55" t="s">
        <v>74</v>
      </c>
      <c r="L21" s="55" t="s">
        <v>75</v>
      </c>
      <c r="M21" s="56" t="s">
        <v>68</v>
      </c>
      <c r="N21" s="56" t="s">
        <v>69</v>
      </c>
      <c r="O21" s="57" t="s">
        <v>70</v>
      </c>
      <c r="P21" s="58" t="s">
        <v>71</v>
      </c>
    </row>
    <row r="22" spans="1:16" ht="12.75" customHeight="1" thickBot="1" x14ac:dyDescent="0.25">
      <c r="A22" s="9" t="str">
        <f t="shared" si="0"/>
        <v>BAVM 225 </v>
      </c>
      <c r="B22" s="2" t="str">
        <f t="shared" si="1"/>
        <v>II</v>
      </c>
      <c r="C22" s="9">
        <f t="shared" si="2"/>
        <v>55873.351699999999</v>
      </c>
      <c r="D22" s="11" t="str">
        <f t="shared" si="3"/>
        <v>vis</v>
      </c>
      <c r="E22" s="54">
        <f>VLOOKUP(C22,'Active 1'!C$21:E$973,3,FALSE)</f>
        <v>-850.50978203454213</v>
      </c>
      <c r="F22" s="2" t="s">
        <v>63</v>
      </c>
      <c r="G22" s="11" t="str">
        <f t="shared" si="4"/>
        <v>55873.3517</v>
      </c>
      <c r="H22" s="9">
        <f t="shared" si="5"/>
        <v>6847.5</v>
      </c>
      <c r="I22" s="55" t="s">
        <v>100</v>
      </c>
      <c r="J22" s="56" t="s">
        <v>101</v>
      </c>
      <c r="K22" s="55" t="s">
        <v>102</v>
      </c>
      <c r="L22" s="55" t="s">
        <v>103</v>
      </c>
      <c r="M22" s="56" t="s">
        <v>68</v>
      </c>
      <c r="N22" s="56" t="s">
        <v>69</v>
      </c>
      <c r="O22" s="57" t="s">
        <v>70</v>
      </c>
      <c r="P22" s="58" t="s">
        <v>104</v>
      </c>
    </row>
    <row r="23" spans="1:16" ht="12.75" customHeight="1" thickBot="1" x14ac:dyDescent="0.25">
      <c r="A23" s="9" t="str">
        <f t="shared" si="0"/>
        <v>BAVM 225 </v>
      </c>
      <c r="B23" s="2" t="str">
        <f t="shared" si="1"/>
        <v>I</v>
      </c>
      <c r="C23" s="9">
        <f t="shared" si="2"/>
        <v>55873.563699999999</v>
      </c>
      <c r="D23" s="11" t="str">
        <f t="shared" si="3"/>
        <v>vis</v>
      </c>
      <c r="E23" s="54">
        <f>VLOOKUP(C23,'Active 1'!C$21:E$973,3,FALSE)</f>
        <v>-850.01567434255446</v>
      </c>
      <c r="F23" s="2" t="s">
        <v>63</v>
      </c>
      <c r="G23" s="11" t="str">
        <f t="shared" si="4"/>
        <v>55873.5637</v>
      </c>
      <c r="H23" s="9">
        <f t="shared" si="5"/>
        <v>6848</v>
      </c>
      <c r="I23" s="55" t="s">
        <v>105</v>
      </c>
      <c r="J23" s="56" t="s">
        <v>106</v>
      </c>
      <c r="K23" s="55">
        <v>6848</v>
      </c>
      <c r="L23" s="55" t="s">
        <v>107</v>
      </c>
      <c r="M23" s="56" t="s">
        <v>68</v>
      </c>
      <c r="N23" s="56" t="s">
        <v>69</v>
      </c>
      <c r="O23" s="57" t="s">
        <v>70</v>
      </c>
      <c r="P23" s="58" t="s">
        <v>104</v>
      </c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</sheetData>
  <phoneticPr fontId="7" type="noConversion"/>
  <hyperlinks>
    <hyperlink ref="P11" r:id="rId1" display="http://www.bav-astro.de/sfs/BAVM_link.php?BAVMnr=215" xr:uid="{00000000-0004-0000-0300-000000000000}"/>
    <hyperlink ref="P21" r:id="rId2" display="http://www.bav-astro.de/sfs/BAVM_link.php?BAVMnr=215" xr:uid="{00000000-0004-0000-0300-000001000000}"/>
    <hyperlink ref="P12" r:id="rId3" display="http://var.astro.cz/oejv/issues/oejv0160.pdf" xr:uid="{00000000-0004-0000-0300-000002000000}"/>
    <hyperlink ref="P13" r:id="rId4" display="http://var.astro.cz/oejv/issues/oejv0160.pdf" xr:uid="{00000000-0004-0000-0300-000003000000}"/>
    <hyperlink ref="P14" r:id="rId5" display="http://var.astro.cz/oejv/issues/oejv0160.pdf" xr:uid="{00000000-0004-0000-0300-000004000000}"/>
    <hyperlink ref="P15" r:id="rId6" display="http://var.astro.cz/oejv/issues/oejv0160.pdf" xr:uid="{00000000-0004-0000-0300-000005000000}"/>
    <hyperlink ref="P16" r:id="rId7" display="http://var.astro.cz/oejv/issues/oejv0160.pdf" xr:uid="{00000000-0004-0000-0300-000006000000}"/>
    <hyperlink ref="P17" r:id="rId8" display="http://var.astro.cz/oejv/issues/oejv0160.pdf" xr:uid="{00000000-0004-0000-0300-000007000000}"/>
    <hyperlink ref="P22" r:id="rId9" display="http://www.bav-astro.de/sfs/BAVM_link.php?BAVMnr=225" xr:uid="{00000000-0004-0000-0300-000008000000}"/>
    <hyperlink ref="P23" r:id="rId10" display="http://www.bav-astro.de/sfs/BAVM_link.php?BAVMnr=225" xr:uid="{00000000-0004-0000-0300-000009000000}"/>
    <hyperlink ref="P18" r:id="rId11" display="http://www.bav-astro.de/sfs/BAVM_link.php?BAVMnr=231" xr:uid="{00000000-0004-0000-0300-00000A000000}"/>
    <hyperlink ref="P19" r:id="rId12" display="http://www.konkoly.hu/cgi-bin/IBVS?6042" xr:uid="{00000000-0004-0000-0300-00000B000000}"/>
    <hyperlink ref="P20" r:id="rId13" display="http://www.bav-astro.de/sfs/BAVM_link.php?BAVMnr=239" xr:uid="{00000000-0004-0000-0300-00000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Graphs 1</vt:lpstr>
      <vt:lpstr>A (old)</vt:lpstr>
      <vt:lpstr>A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2024-01-20T04:42:50Z</dcterms:modified>
</cp:coreProperties>
</file>