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3160B1A-D693-4B34-8938-A2144DAEEDE6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30" i="1" l="1"/>
  <c r="F30" i="1"/>
  <c r="G30" i="1" s="1"/>
  <c r="I30" i="1" s="1"/>
  <c r="E31" i="1"/>
  <c r="F31" i="1" s="1"/>
  <c r="G31" i="1" s="1"/>
  <c r="I31" i="1" s="1"/>
  <c r="E32" i="1"/>
  <c r="F32" i="1"/>
  <c r="G32" i="1" s="1"/>
  <c r="I32" i="1" s="1"/>
  <c r="G11" i="1"/>
  <c r="F11" i="1"/>
  <c r="Q30" i="1"/>
  <c r="Q31" i="1"/>
  <c r="Q32" i="1"/>
  <c r="Q29" i="1"/>
  <c r="E22" i="1"/>
  <c r="F22" i="1"/>
  <c r="G22" i="1"/>
  <c r="J22" i="1" s="1"/>
  <c r="E23" i="1"/>
  <c r="F23" i="1"/>
  <c r="G23" i="1" s="1"/>
  <c r="J23" i="1" s="1"/>
  <c r="E24" i="1"/>
  <c r="F24" i="1"/>
  <c r="G24" i="1"/>
  <c r="J24" i="1" s="1"/>
  <c r="E25" i="1"/>
  <c r="F25" i="1"/>
  <c r="G25" i="1" s="1"/>
  <c r="J25" i="1" s="1"/>
  <c r="E26" i="1"/>
  <c r="F26" i="1"/>
  <c r="G26" i="1"/>
  <c r="J26" i="1" s="1"/>
  <c r="E27" i="1"/>
  <c r="F27" i="1"/>
  <c r="G27" i="1" s="1"/>
  <c r="J27" i="1" s="1"/>
  <c r="E28" i="1"/>
  <c r="F28" i="1"/>
  <c r="G28" i="1"/>
  <c r="J28" i="1" s="1"/>
  <c r="E29" i="1"/>
  <c r="F29" i="1"/>
  <c r="G29" i="1" s="1"/>
  <c r="J29" i="1" s="1"/>
  <c r="E21" i="1"/>
  <c r="F21" i="1"/>
  <c r="G21" i="1"/>
  <c r="H21" i="1" s="1"/>
  <c r="Q28" i="1"/>
  <c r="Q27" i="1"/>
  <c r="Q26" i="1"/>
  <c r="Q25" i="1"/>
  <c r="Q24" i="1"/>
  <c r="Q23" i="1"/>
  <c r="Q22" i="1"/>
  <c r="E14" i="1"/>
  <c r="E15" i="1" s="1"/>
  <c r="C17" i="1"/>
  <c r="Q21" i="1"/>
  <c r="C11" i="1"/>
  <c r="C12" i="1"/>
  <c r="C16" i="1" l="1"/>
  <c r="D18" i="1" s="1"/>
  <c r="O22" i="1"/>
  <c r="C15" i="1"/>
  <c r="O32" i="1"/>
  <c r="O24" i="1"/>
  <c r="O28" i="1"/>
  <c r="O27" i="1"/>
  <c r="O23" i="1"/>
  <c r="O21" i="1"/>
  <c r="O31" i="1"/>
  <c r="O30" i="1"/>
  <c r="O25" i="1"/>
  <c r="O29" i="1"/>
  <c r="O26" i="1"/>
  <c r="C18" i="1" l="1"/>
  <c r="E16" i="1"/>
  <c r="E17" i="1" s="1"/>
</calcChain>
</file>

<file path=xl/sharedStrings.xml><?xml version="1.0" encoding="utf-8"?>
<sst xmlns="http://schemas.openxmlformats.org/spreadsheetml/2006/main" count="102" uniqueCount="83">
  <si>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</si>
  <si>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</si>
  <si>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</si>
  <si>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</si>
  <si>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</si>
  <si>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</si>
  <si>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</si>
  <si>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</si>
  <si>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</si>
  <si>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</si>
  <si>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</si>
  <si>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</si>
  <si>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</si>
  <si>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</si>
  <si>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</si>
  <si>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</si>
  <si>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</si>
  <si>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</si>
  <si>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</si>
  <si>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</si>
  <si>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</si>
  <si>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</si>
  <si>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</si>
  <si>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</si>
  <si>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</si>
  <si>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</si>
  <si>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</si>
  <si>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</si>
  <si>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</si>
  <si>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</si>
  <si>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</si>
  <si>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</si>
  <si>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</si>
  <si>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</si>
  <si>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</si>
  <si>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</si>
  <si>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</si>
  <si>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</si>
  <si>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Lubke 2012, pc</t>
  </si>
  <si>
    <t>Cas</t>
  </si>
  <si>
    <t>EW?</t>
  </si>
  <si>
    <t>not avail.</t>
  </si>
  <si>
    <t>RHN 2008 (unpubl)</t>
  </si>
  <si>
    <t>V Filter</t>
  </si>
  <si>
    <t>Ic Filter</t>
  </si>
  <si>
    <t>RHN-044</t>
  </si>
  <si>
    <t>Not in SIMBAD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</si>
  <si>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</si>
  <si>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</si>
  <si>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</si>
  <si>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</si>
  <si>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</si>
  <si>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</si>
  <si>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</si>
  <si>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</si>
  <si>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</si>
  <si>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</si>
  <si>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</si>
  <si>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</si>
  <si>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</si>
  <si>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</si>
  <si>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</si>
  <si>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</si>
  <si>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</si>
  <si>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</si>
  <si>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</si>
  <si>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</si>
  <si>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</si>
  <si>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</si>
  <si>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</si>
  <si>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</si>
  <si>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</si>
  <si>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Nelson</t>
  </si>
  <si>
    <t>SDSS J013232.76+551526.4</t>
  </si>
  <si>
    <t>USNO-B1.0 1452-0050281</t>
  </si>
  <si>
    <t>USNO-A2.0 1425-02086059</t>
  </si>
  <si>
    <t>A.K.A.</t>
  </si>
  <si>
    <t>UCAC3 291-028528</t>
  </si>
  <si>
    <t>IBVS 6118</t>
  </si>
  <si>
    <t>I</t>
  </si>
  <si>
    <t>CCD</t>
  </si>
  <si>
    <t>V1321 Cas / GSC 3674 1587</t>
  </si>
  <si>
    <t>IBVS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</si>
</sst>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22" fontId="0" fillId="0" borderId="0" xfId="0" applyNumberFormat="1" applyAlignment="1">
      <alignment horizontal="center"/>
    </xf>
    <xf numFmtId="4" fontId="0" fillId="0" borderId="0" xfId="0" applyNumberFormat="1" applyAlignment="1"/>
    <xf numFmtId="0" fontId="0" fillId="0" borderId="0" xfId="0" applyNumberFormat="1" applyAlignment="1">
      <alignment horizontal="left"/>
    </xf>
    <xf numFmtId="0" fontId="0" fillId="0" borderId="0" xfId="0" applyNumberFormat="1" applyAlignment="1"/>
    <xf numFmtId="0" fontId="11" fillId="0" borderId="0" xfId="0" applyFont="1" applyAlignment="1"/>
    <xf numFmtId="0" fontId="7" fillId="0" borderId="0" xfId="0" applyFont="1" applyAlignment="1">
      <alignment horizontal="left"/>
    </xf>
    <xf numFmtId="0" fontId="0" fillId="0" borderId="0" xfId="0" applyFill="1" applyBorder="1" applyAlignment="1"/>
    <xf numFmtId="0" fontId="0" fillId="0" borderId="2" xfId="0" applyFill="1" applyBorder="1" applyAlignment="1"/>
    <xf numFmtId="0" fontId="13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Continuous"/>
    </xf>
    <xf numFmtId="0" fontId="14" fillId="0" borderId="0" xfId="0" applyFont="1" applyAlignment="1">
      <alignment horizontal="right"/>
    </xf>
    <xf numFmtId="0" fontId="9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9" fillId="0" borderId="9" xfId="0" applyFont="1" applyBorder="1" applyAlignment="1"/>
    <xf numFmtId="0" fontId="0" fillId="0" borderId="0" xfId="0" applyBorder="1" applyAlignment="1"/>
    <xf numFmtId="0" fontId="0" fillId="0" borderId="10" xfId="0" applyBorder="1" applyAlignment="1"/>
    <xf numFmtId="0" fontId="9" fillId="0" borderId="11" xfId="0" applyFont="1" applyBorder="1" applyAlignment="1"/>
    <xf numFmtId="0" fontId="0" fillId="0" borderId="2" xfId="0" applyBorder="1" applyAlignment="1"/>
    <xf numFmtId="0" fontId="0" fillId="0" borderId="12" xfId="0" applyBorder="1" applyAlignme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V1321 Cas - O-C Diagr.</a:t>
            </a:r>
          </a:p>
        </c:rich>
      </c:tx>
      <c:layout>
        <c:manualLayout>
          <c:xMode val="edge"/>
          <c:yMode val="edge"/>
          <c:x val="0.34554166628113908"/>
          <c:y val="3.44826633512916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4285180129124"/>
          <c:y val="0.14080499283010289"/>
          <c:w val="0.81531651082211731"/>
          <c:h val="0.6494271097878215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95-4C46-9F1E-AE01F3A61B86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  <c:pt idx="9">
                  <c:v>0.13305531158403028</c:v>
                </c:pt>
                <c:pt idx="10">
                  <c:v>0.13547531157382764</c:v>
                </c:pt>
                <c:pt idx="11">
                  <c:v>0.13039531157846795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95-4C46-9F1E-AE01F3A61B86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  <c:pt idx="1">
                  <c:v>8.4375311569601763E-2</c:v>
                </c:pt>
                <c:pt idx="2">
                  <c:v>8.5745311756909359E-2</c:v>
                </c:pt>
                <c:pt idx="3">
                  <c:v>8.4445311680610757E-2</c:v>
                </c:pt>
                <c:pt idx="4">
                  <c:v>8.5125311736192089E-2</c:v>
                </c:pt>
                <c:pt idx="5">
                  <c:v>8.3175311563536525E-2</c:v>
                </c:pt>
                <c:pt idx="6">
                  <c:v>8.6505311774089932E-2</c:v>
                </c:pt>
                <c:pt idx="7">
                  <c:v>8.6555311550910119E-2</c:v>
                </c:pt>
                <c:pt idx="8">
                  <c:v>8.404531153064454E-2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95-4C46-9F1E-AE01F3A61B86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95-4C46-9F1E-AE01F3A61B86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95-4C46-9F1E-AE01F3A61B86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95-4C46-9F1E-AE01F3A61B86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95-4C46-9F1E-AE01F3A61B86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-3.8133906502950954E-3</c:v>
                </c:pt>
                <c:pt idx="1">
                  <c:v>8.5771708262459542E-2</c:v>
                </c:pt>
                <c:pt idx="2">
                  <c:v>8.5771708262459542E-2</c:v>
                </c:pt>
                <c:pt idx="3">
                  <c:v>8.6564034436146076E-2</c:v>
                </c:pt>
                <c:pt idx="4">
                  <c:v>8.6564034436146076E-2</c:v>
                </c:pt>
                <c:pt idx="5">
                  <c:v>8.6712051413647948E-2</c:v>
                </c:pt>
                <c:pt idx="6">
                  <c:v>8.6712051413647948E-2</c:v>
                </c:pt>
                <c:pt idx="7">
                  <c:v>8.6781706461884128E-2</c:v>
                </c:pt>
                <c:pt idx="8">
                  <c:v>8.6781706461884128E-2</c:v>
                </c:pt>
                <c:pt idx="9">
                  <c:v>0.13034223225258404</c:v>
                </c:pt>
                <c:pt idx="10">
                  <c:v>0.13035093913361356</c:v>
                </c:pt>
                <c:pt idx="11">
                  <c:v>0.13035964601464309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95-4C46-9F1E-AE01F3A61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702400"/>
        <c:axId val="1"/>
      </c:scatterChart>
      <c:valAx>
        <c:axId val="884702400"/>
        <c:scaling>
          <c:orientation val="minMax"/>
          <c:max val="8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03081821979459"/>
              <c:y val="0.844829999698313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9311551573294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4702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605101164155"/>
          <c:y val="0.92529007149968323"/>
          <c:w val="0.6801811260078976"/>
          <c:h val="5.74715660542431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3674 1587 - O-C Diagr. [HJDo = 54683.869, per = 0.24096 d]</a:t>
            </a:r>
          </a:p>
        </c:rich>
      </c:tx>
      <c:layout>
        <c:manualLayout>
          <c:xMode val="edge"/>
          <c:yMode val="edge"/>
          <c:x val="0.1368421052631579"/>
          <c:y val="3.4582132564841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121037463976946"/>
          <c:w val="0.82406015037593983"/>
          <c:h val="0.6484149855907781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A8-4258-A015-7371A104E448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  <c:pt idx="9">
                  <c:v>0.13305531158403028</c:v>
                </c:pt>
                <c:pt idx="10">
                  <c:v>0.13547531157382764</c:v>
                </c:pt>
                <c:pt idx="11">
                  <c:v>0.13039531157846795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A8-4258-A015-7371A104E448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  <c:pt idx="1">
                  <c:v>8.4375311569601763E-2</c:v>
                </c:pt>
                <c:pt idx="2">
                  <c:v>8.5745311756909359E-2</c:v>
                </c:pt>
                <c:pt idx="3">
                  <c:v>8.4445311680610757E-2</c:v>
                </c:pt>
                <c:pt idx="4">
                  <c:v>8.5125311736192089E-2</c:v>
                </c:pt>
                <c:pt idx="5">
                  <c:v>8.3175311563536525E-2</c:v>
                </c:pt>
                <c:pt idx="6">
                  <c:v>8.6505311774089932E-2</c:v>
                </c:pt>
                <c:pt idx="7">
                  <c:v>8.6555311550910119E-2</c:v>
                </c:pt>
                <c:pt idx="8">
                  <c:v>8.404531153064454E-2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A8-4258-A015-7371A104E448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A8-4258-A015-7371A104E448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A8-4258-A015-7371A104E44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A8-4258-A015-7371A104E44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A8-4258-A015-7371A104E44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-3.8133906502950954E-3</c:v>
                </c:pt>
                <c:pt idx="1">
                  <c:v>8.5771708262459542E-2</c:v>
                </c:pt>
                <c:pt idx="2">
                  <c:v>8.5771708262459542E-2</c:v>
                </c:pt>
                <c:pt idx="3">
                  <c:v>8.6564034436146076E-2</c:v>
                </c:pt>
                <c:pt idx="4">
                  <c:v>8.6564034436146076E-2</c:v>
                </c:pt>
                <c:pt idx="5">
                  <c:v>8.6712051413647948E-2</c:v>
                </c:pt>
                <c:pt idx="6">
                  <c:v>8.6712051413647948E-2</c:v>
                </c:pt>
                <c:pt idx="7">
                  <c:v>8.6781706461884128E-2</c:v>
                </c:pt>
                <c:pt idx="8">
                  <c:v>8.6781706461884128E-2</c:v>
                </c:pt>
                <c:pt idx="9">
                  <c:v>0.13034223225258404</c:v>
                </c:pt>
                <c:pt idx="10">
                  <c:v>0.13035093913361356</c:v>
                </c:pt>
                <c:pt idx="11">
                  <c:v>0.13035964601464309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A8-4258-A015-7371A104E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695560"/>
        <c:axId val="1"/>
      </c:scatterChart>
      <c:valAx>
        <c:axId val="884695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38040345821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7521613832853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4695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57894736842105"/>
          <c:y val="0.9250720461095101"/>
          <c:w val="0.68120300751879692"/>
          <c:h val="5.7636887608069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3674 1587 - O-C Diagram  [HJDo = 54683.869, Per. = 0.24096 d]</a:t>
            </a:r>
          </a:p>
        </c:rich>
      </c:tx>
      <c:layout>
        <c:manualLayout>
          <c:xMode val="edge"/>
          <c:yMode val="edge"/>
          <c:x val="0.11561577325356852"/>
          <c:y val="3.448275862068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3082217591934"/>
          <c:y val="0.14367856411234992"/>
          <c:w val="0.8243255330411462"/>
          <c:h val="0.635059253376586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58-4615-98A3-399575AFB741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  <c:pt idx="9">
                  <c:v>0.13305531158403028</c:v>
                </c:pt>
                <c:pt idx="10">
                  <c:v>0.13547531157382764</c:v>
                </c:pt>
                <c:pt idx="11">
                  <c:v>0.13039531157846795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58-4615-98A3-399575AFB741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  <c:pt idx="1">
                  <c:v>8.4375311569601763E-2</c:v>
                </c:pt>
                <c:pt idx="2">
                  <c:v>8.5745311756909359E-2</c:v>
                </c:pt>
                <c:pt idx="3">
                  <c:v>8.4445311680610757E-2</c:v>
                </c:pt>
                <c:pt idx="4">
                  <c:v>8.5125311736192089E-2</c:v>
                </c:pt>
                <c:pt idx="5">
                  <c:v>8.3175311563536525E-2</c:v>
                </c:pt>
                <c:pt idx="6">
                  <c:v>8.6505311774089932E-2</c:v>
                </c:pt>
                <c:pt idx="7">
                  <c:v>8.6555311550910119E-2</c:v>
                </c:pt>
                <c:pt idx="8">
                  <c:v>8.404531153064454E-2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58-4615-98A3-399575AFB741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58-4615-98A3-399575AFB741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58-4615-98A3-399575AFB74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58-4615-98A3-399575AFB74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8.4000000000000003E-4</c:v>
                  </c:pt>
                  <c:pt idx="2">
                    <c:v>8.8999999999999995E-4</c:v>
                  </c:pt>
                  <c:pt idx="3">
                    <c:v>1.8799999999999999E-3</c:v>
                  </c:pt>
                  <c:pt idx="4">
                    <c:v>1.33E-3</c:v>
                  </c:pt>
                  <c:pt idx="5">
                    <c:v>1.83E-3</c:v>
                  </c:pt>
                  <c:pt idx="6">
                    <c:v>4.8999999999999998E-4</c:v>
                  </c:pt>
                  <c:pt idx="7">
                    <c:v>5.5999999999999995E-4</c:v>
                  </c:pt>
                  <c:pt idx="8">
                    <c:v>1.0399999999999999E-3</c:v>
                  </c:pt>
                  <c:pt idx="9">
                    <c:v>3.8E-3</c:v>
                  </c:pt>
                  <c:pt idx="10">
                    <c:v>7.3000000000000001E-3</c:v>
                  </c:pt>
                  <c:pt idx="1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58-4615-98A3-399575AFB741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5144.5</c:v>
                </c:pt>
                <c:pt idx="2">
                  <c:v>5144.5</c:v>
                </c:pt>
                <c:pt idx="3">
                  <c:v>5190</c:v>
                </c:pt>
                <c:pt idx="4">
                  <c:v>5190</c:v>
                </c:pt>
                <c:pt idx="5">
                  <c:v>5198.5</c:v>
                </c:pt>
                <c:pt idx="6">
                  <c:v>5198.5</c:v>
                </c:pt>
                <c:pt idx="7">
                  <c:v>5202.5</c:v>
                </c:pt>
                <c:pt idx="8">
                  <c:v>5202.5</c:v>
                </c:pt>
                <c:pt idx="9">
                  <c:v>7704</c:v>
                </c:pt>
                <c:pt idx="10">
                  <c:v>7704.5</c:v>
                </c:pt>
                <c:pt idx="11">
                  <c:v>7705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-3.8133906502950954E-3</c:v>
                </c:pt>
                <c:pt idx="1">
                  <c:v>8.5771708262459542E-2</c:v>
                </c:pt>
                <c:pt idx="2">
                  <c:v>8.5771708262459542E-2</c:v>
                </c:pt>
                <c:pt idx="3">
                  <c:v>8.6564034436146076E-2</c:v>
                </c:pt>
                <c:pt idx="4">
                  <c:v>8.6564034436146076E-2</c:v>
                </c:pt>
                <c:pt idx="5">
                  <c:v>8.6712051413647948E-2</c:v>
                </c:pt>
                <c:pt idx="6">
                  <c:v>8.6712051413647948E-2</c:v>
                </c:pt>
                <c:pt idx="7">
                  <c:v>8.6781706461884128E-2</c:v>
                </c:pt>
                <c:pt idx="8">
                  <c:v>8.6781706461884128E-2</c:v>
                </c:pt>
                <c:pt idx="9">
                  <c:v>0.13034223225258404</c:v>
                </c:pt>
                <c:pt idx="10">
                  <c:v>0.13035093913361356</c:v>
                </c:pt>
                <c:pt idx="11">
                  <c:v>0.13035964601464309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58-4615-98A3-399575AFB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041464"/>
        <c:axId val="1"/>
      </c:scatterChart>
      <c:valAx>
        <c:axId val="780041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5435561545797756"/>
              <c:y val="0.83908287326153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4534534534534533E-2"/>
              <c:y val="0.356322744139741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041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162177925957453"/>
          <c:y val="0.90517482728452048"/>
          <c:w val="0.76876987223443916"/>
          <c:h val="6.32186924910248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104774</xdr:colOff>
      <xdr:row>0</xdr:row>
      <xdr:rowOff>0</xdr:rowOff>
    </xdr:from>
    <xdr:to>
      <xdr:col>18</xdr:col>
      <xdr:colOff>666749</xdr:colOff>
      <xdr:row>18</xdr:row>
      <xdr:rowOff>133350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5717E98D-09CE-23C1-5EDC-C3FA90086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66675</xdr:rowOff>
    </xdr:from>
    <xdr:to>
      <xdr:col>10</xdr:col>
      <xdr:colOff>457200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2FB440-6B6E-34FA-D6DC-3E7D10BD76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21</xdr:row>
      <xdr:rowOff>133350</xdr:rowOff>
    </xdr:from>
    <xdr:to>
      <xdr:col>10</xdr:col>
      <xdr:colOff>590550</xdr:colOff>
      <xdr:row>42</xdr:row>
      <xdr:rowOff>47625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88F74A1D-DBC0-A45C-5372-94E2DE3632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39"/>
  <sheetViews>
    <sheetView tabSelected="1" workbookViewId="0">
      <selection activeCell="M32" sqref="M3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9" width="10.28515625" customWidth="1"/>
    <col min="20" max="20" width="19.28515625" customWidth="1"/>
  </cols>
  <sheetData>
    <row r="1" spans="1:24" ht="20.25" x14ac:dyDescent="0.3">
      <c r="A1" s="1" t="s">
        <v>81</v>
      </c>
      <c r="D1" t="s">
        <v>39</v>
      </c>
      <c r="E1" s="39" t="s">
        <v>76</v>
      </c>
      <c r="F1" s="40" t="s">
        <v>73</v>
      </c>
      <c r="G1" s="41"/>
      <c r="H1" s="42"/>
    </row>
    <row r="2" spans="1:24" x14ac:dyDescent="0.2">
      <c r="A2" t="s">
        <v>23</v>
      </c>
      <c r="B2" t="s">
        <v>40</v>
      </c>
      <c r="C2" s="33" t="s">
        <v>45</v>
      </c>
      <c r="D2" s="34" t="s">
        <v>46</v>
      </c>
      <c r="E2" s="29"/>
      <c r="F2" s="43" t="s">
        <v>74</v>
      </c>
      <c r="G2" s="44"/>
      <c r="H2" s="45"/>
      <c r="S2" t="s">
        <v>47</v>
      </c>
    </row>
    <row r="3" spans="1:24" ht="13.5" thickBot="1" x14ac:dyDescent="0.25">
      <c r="F3" s="43" t="s">
        <v>75</v>
      </c>
      <c r="G3" s="44"/>
      <c r="H3" s="45"/>
    </row>
    <row r="4" spans="1:24" ht="14.25" thickTop="1" thickBot="1" x14ac:dyDescent="0.25">
      <c r="A4" s="4" t="s">
        <v>0</v>
      </c>
      <c r="C4" s="7" t="s">
        <v>41</v>
      </c>
      <c r="D4" s="8" t="s">
        <v>41</v>
      </c>
      <c r="F4" s="46" t="s">
        <v>77</v>
      </c>
      <c r="G4" s="47"/>
      <c r="H4" s="48"/>
      <c r="S4" s="38" t="s">
        <v>48</v>
      </c>
      <c r="T4" s="38"/>
    </row>
    <row r="5" spans="1:24" ht="13.5" thickTop="1" x14ac:dyDescent="0.2">
      <c r="S5" s="35" t="s">
        <v>49</v>
      </c>
      <c r="T5" s="35">
        <v>0.99539198835170251</v>
      </c>
    </row>
    <row r="6" spans="1:24" x14ac:dyDescent="0.2">
      <c r="A6" s="4" t="s">
        <v>1</v>
      </c>
      <c r="S6" s="35" t="s">
        <v>50</v>
      </c>
      <c r="T6" s="35">
        <v>0.99080521047475578</v>
      </c>
    </row>
    <row r="7" spans="1:24" x14ac:dyDescent="0.2">
      <c r="A7" t="s">
        <v>2</v>
      </c>
      <c r="C7" s="32">
        <v>54683.869004688422</v>
      </c>
      <c r="S7" s="35" t="s">
        <v>51</v>
      </c>
      <c r="T7" s="35">
        <v>0.98949166911400666</v>
      </c>
    </row>
    <row r="8" spans="1:24" x14ac:dyDescent="0.2">
      <c r="A8" t="s">
        <v>3</v>
      </c>
      <c r="C8">
        <v>0.24096000000000001</v>
      </c>
      <c r="S8" s="35" t="s">
        <v>52</v>
      </c>
      <c r="T8" s="35">
        <v>1.2179807080894699E-3</v>
      </c>
    </row>
    <row r="9" spans="1:24" ht="13.5" thickBot="1" x14ac:dyDescent="0.25">
      <c r="A9" s="10" t="s">
        <v>29</v>
      </c>
      <c r="B9" s="11"/>
      <c r="C9" s="12">
        <v>-9.5</v>
      </c>
      <c r="D9" s="11" t="s">
        <v>30</v>
      </c>
      <c r="E9" s="11"/>
      <c r="S9" s="36" t="s">
        <v>53</v>
      </c>
      <c r="T9" s="36">
        <v>9</v>
      </c>
    </row>
    <row r="10" spans="1:24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24" ht="13.5" thickBot="1" x14ac:dyDescent="0.25">
      <c r="A11" s="11" t="s">
        <v>15</v>
      </c>
      <c r="B11" s="11"/>
      <c r="C11" s="24">
        <f ca="1">INTERCEPT(INDIRECT($G$11):G991,INDIRECT($F$11):F991)</f>
        <v>-3.8133906502950954E-3</v>
      </c>
      <c r="D11" s="13"/>
      <c r="E11" s="11"/>
      <c r="F11" s="25" t="str">
        <f>"F"&amp;E19</f>
        <v>F21</v>
      </c>
      <c r="G11" s="26" t="str">
        <f>"G"&amp;E19</f>
        <v>G21</v>
      </c>
      <c r="S11" t="s">
        <v>54</v>
      </c>
    </row>
    <row r="12" spans="1:24" x14ac:dyDescent="0.2">
      <c r="A12" s="11" t="s">
        <v>16</v>
      </c>
      <c r="B12" s="11"/>
      <c r="C12" s="24">
        <f ca="1">SLOPE(INDIRECT($G$11):G991,INDIRECT($F$11):F991)</f>
        <v>1.7413762059044541E-5</v>
      </c>
      <c r="D12" s="13"/>
      <c r="E12" s="11"/>
      <c r="S12" s="37"/>
      <c r="T12" s="37" t="s">
        <v>59</v>
      </c>
      <c r="U12" s="37" t="s">
        <v>60</v>
      </c>
      <c r="V12" s="37" t="s">
        <v>61</v>
      </c>
      <c r="W12" s="37" t="s">
        <v>62</v>
      </c>
      <c r="X12" s="37" t="s">
        <v>63</v>
      </c>
    </row>
    <row r="13" spans="1:24" x14ac:dyDescent="0.2">
      <c r="A13" s="11" t="s">
        <v>18</v>
      </c>
      <c r="B13" s="11"/>
      <c r="C13" s="13" t="s">
        <v>13</v>
      </c>
      <c r="D13" s="16" t="s">
        <v>35</v>
      </c>
      <c r="E13" s="12">
        <v>1</v>
      </c>
      <c r="S13" s="35" t="s">
        <v>55</v>
      </c>
      <c r="T13" s="35">
        <v>1</v>
      </c>
      <c r="U13" s="35">
        <v>1.1189877916069151E-3</v>
      </c>
      <c r="V13" s="35">
        <v>1.1189877916069151E-3</v>
      </c>
      <c r="W13" s="35">
        <v>754.30073241824482</v>
      </c>
      <c r="X13" s="35">
        <v>2.1771446351613349E-8</v>
      </c>
    </row>
    <row r="14" spans="1:24" x14ac:dyDescent="0.2">
      <c r="A14" s="11"/>
      <c r="B14" s="11"/>
      <c r="C14" s="11"/>
      <c r="D14" s="16" t="s">
        <v>31</v>
      </c>
      <c r="E14" s="17">
        <f ca="1">NOW()+15018.5+$C$9/24</f>
        <v>60329.79026134259</v>
      </c>
      <c r="S14" s="35" t="s">
        <v>56</v>
      </c>
      <c r="T14" s="35">
        <v>7</v>
      </c>
      <c r="U14" s="35">
        <v>1.0384339036946884E-5</v>
      </c>
      <c r="V14" s="35">
        <v>1.4834770052781262E-6</v>
      </c>
      <c r="W14" s="35"/>
      <c r="X14" s="35"/>
    </row>
    <row r="15" spans="1:24" ht="13.5" thickBot="1" x14ac:dyDescent="0.25">
      <c r="A15" s="14" t="s">
        <v>17</v>
      </c>
      <c r="B15" s="11"/>
      <c r="C15" s="15">
        <f ca="1">(C7+C11)+(C8+C12)*INT(MAX(F21:F3532))</f>
        <v>56540.596164334434</v>
      </c>
      <c r="D15" s="16" t="s">
        <v>36</v>
      </c>
      <c r="E15" s="17">
        <f ca="1">ROUND(2*(E14-$C$7)/$C$8,0)/2+E13</f>
        <v>23432</v>
      </c>
      <c r="S15" s="36" t="s">
        <v>57</v>
      </c>
      <c r="T15" s="36">
        <v>8</v>
      </c>
      <c r="U15" s="36">
        <v>1.1293721306438621E-3</v>
      </c>
      <c r="V15" s="36"/>
      <c r="W15" s="36"/>
      <c r="X15" s="36"/>
    </row>
    <row r="16" spans="1:24" ht="13.5" thickBot="1" x14ac:dyDescent="0.25">
      <c r="A16" s="18" t="s">
        <v>4</v>
      </c>
      <c r="B16" s="11"/>
      <c r="C16" s="19">
        <f ca="1">+C8+C12</f>
        <v>0.24097741376205906</v>
      </c>
      <c r="D16" s="16" t="s">
        <v>37</v>
      </c>
      <c r="E16" s="26">
        <f ca="1">ROUND(2*(E14-$C$15)/$C$16,0)/2+E13</f>
        <v>15725.5</v>
      </c>
    </row>
    <row r="17" spans="1:27" ht="13.5" thickBot="1" x14ac:dyDescent="0.25">
      <c r="A17" s="16" t="s">
        <v>28</v>
      </c>
      <c r="B17" s="11"/>
      <c r="C17" s="11">
        <f>COUNT(C21:C2190)</f>
        <v>12</v>
      </c>
      <c r="D17" s="16" t="s">
        <v>32</v>
      </c>
      <c r="E17" s="20">
        <f ca="1">+$C$15+$C$16*E16-15018.5-$C$9/24</f>
        <v>45311.982317783033</v>
      </c>
      <c r="S17" s="37"/>
      <c r="T17" s="37" t="s">
        <v>64</v>
      </c>
      <c r="U17" s="37" t="s">
        <v>52</v>
      </c>
      <c r="V17" s="37" t="s">
        <v>65</v>
      </c>
      <c r="W17" s="37" t="s">
        <v>66</v>
      </c>
      <c r="X17" s="37" t="s">
        <v>67</v>
      </c>
      <c r="Y17" s="37" t="s">
        <v>68</v>
      </c>
      <c r="Z17" s="37" t="s">
        <v>69</v>
      </c>
      <c r="AA17" s="37" t="s">
        <v>70</v>
      </c>
    </row>
    <row r="18" spans="1:27" ht="14.25" thickTop="1" thickBot="1" x14ac:dyDescent="0.25">
      <c r="A18" s="18" t="s">
        <v>5</v>
      </c>
      <c r="B18" s="11"/>
      <c r="C18" s="21">
        <f ca="1">+C15</f>
        <v>56540.596164334434</v>
      </c>
      <c r="D18" s="22">
        <f ca="1">+C16</f>
        <v>0.24097741376205906</v>
      </c>
      <c r="E18" s="23" t="s">
        <v>33</v>
      </c>
      <c r="S18" s="35" t="s">
        <v>58</v>
      </c>
      <c r="T18" s="35">
        <v>-5.5057076423113719E-6</v>
      </c>
      <c r="U18" s="35">
        <v>1.2178833526776064E-3</v>
      </c>
      <c r="V18" s="35">
        <v>-4.5207183678196003E-3</v>
      </c>
      <c r="W18" s="35">
        <v>0.9965191377038628</v>
      </c>
      <c r="X18" s="35">
        <v>-2.8853401588084539E-3</v>
      </c>
      <c r="Y18" s="35">
        <v>2.8743287435238313E-3</v>
      </c>
      <c r="Z18" s="35">
        <v>-2.8853401588084539E-3</v>
      </c>
      <c r="AA18" s="35">
        <v>2.8743287435238313E-3</v>
      </c>
    </row>
    <row r="19" spans="1:27" ht="14.25" thickTop="1" thickBot="1" x14ac:dyDescent="0.25">
      <c r="A19" s="27" t="s">
        <v>34</v>
      </c>
      <c r="E19" s="28">
        <v>21</v>
      </c>
      <c r="S19" s="36" t="s">
        <v>71</v>
      </c>
      <c r="T19" s="36">
        <v>-6.8431092339959935E-6</v>
      </c>
      <c r="U19" s="36">
        <v>2.4916165552307277E-7</v>
      </c>
      <c r="V19" s="36">
        <v>-27.46453590392969</v>
      </c>
      <c r="W19" s="36">
        <v>2.1771446351613518E-8</v>
      </c>
      <c r="X19" s="36">
        <v>-7.4322825057279388E-6</v>
      </c>
      <c r="Y19" s="36">
        <v>-6.2539359622640483E-6</v>
      </c>
      <c r="Z19" s="36">
        <v>-7.4322825057279388E-6</v>
      </c>
      <c r="AA19" s="36">
        <v>-6.2539359622640483E-6</v>
      </c>
    </row>
    <row r="20" spans="1:27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72</v>
      </c>
      <c r="I20" s="6" t="s">
        <v>82</v>
      </c>
      <c r="J20" s="6" t="s">
        <v>80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</row>
    <row r="21" spans="1:27" x14ac:dyDescent="0.2">
      <c r="A21" t="s">
        <v>42</v>
      </c>
      <c r="C21" s="9">
        <v>54683.869004688422</v>
      </c>
      <c r="D21" s="9">
        <v>1E-3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-3.8133906502950954E-3</v>
      </c>
      <c r="Q21" s="2">
        <f>+C21-15018.5</f>
        <v>39665.369004688422</v>
      </c>
    </row>
    <row r="22" spans="1:27" x14ac:dyDescent="0.2">
      <c r="A22" t="s">
        <v>38</v>
      </c>
      <c r="C22" s="31">
        <v>55923.57209999999</v>
      </c>
      <c r="D22">
        <v>8.4000000000000003E-4</v>
      </c>
      <c r="E22">
        <f t="shared" ref="E22:E29" si="0">+(C22-C$7)/C$8</f>
        <v>5144.8501631456184</v>
      </c>
      <c r="F22">
        <f>ROUND(2*E22,0)/2-0.5</f>
        <v>5144.5</v>
      </c>
      <c r="G22">
        <f t="shared" ref="G22:G29" si="1">+C22-(C$7+F22*C$8)</f>
        <v>8.4375311569601763E-2</v>
      </c>
      <c r="J22">
        <f>+G22</f>
        <v>8.4375311569601763E-2</v>
      </c>
      <c r="O22">
        <f t="shared" ref="O22:O29" ca="1" si="2">+C$11+C$12*$F22</f>
        <v>8.5771708262459542E-2</v>
      </c>
      <c r="Q22" s="2">
        <f t="shared" ref="Q22:Q29" si="3">+C22-15018.5</f>
        <v>40905.07209999999</v>
      </c>
      <c r="R22" s="30" t="s">
        <v>43</v>
      </c>
    </row>
    <row r="23" spans="1:27" x14ac:dyDescent="0.2">
      <c r="A23" t="s">
        <v>38</v>
      </c>
      <c r="C23" s="31">
        <v>55923.573470000178</v>
      </c>
      <c r="D23">
        <v>8.8999999999999995E-4</v>
      </c>
      <c r="E23">
        <f t="shared" si="0"/>
        <v>5144.8558487373648</v>
      </c>
      <c r="F23">
        <f t="shared" ref="F23:F32" si="4">ROUND(2*E23,0)/2-0.5</f>
        <v>5144.5</v>
      </c>
      <c r="G23">
        <f t="shared" si="1"/>
        <v>8.5745311756909359E-2</v>
      </c>
      <c r="J23">
        <f>+G23</f>
        <v>8.5745311756909359E-2</v>
      </c>
      <c r="O23">
        <f t="shared" ca="1" si="2"/>
        <v>8.5771708262459542E-2</v>
      </c>
      <c r="Q23" s="2">
        <f t="shared" si="3"/>
        <v>40905.073470000178</v>
      </c>
      <c r="R23" s="30" t="s">
        <v>44</v>
      </c>
    </row>
    <row r="24" spans="1:27" x14ac:dyDescent="0.2">
      <c r="A24" t="s">
        <v>38</v>
      </c>
      <c r="C24" s="31">
        <v>55934.535850000102</v>
      </c>
      <c r="D24">
        <v>1.8799999999999999E-3</v>
      </c>
      <c r="E24">
        <f t="shared" si="0"/>
        <v>5190.3504536507298</v>
      </c>
      <c r="F24">
        <f t="shared" si="4"/>
        <v>5190</v>
      </c>
      <c r="G24">
        <f t="shared" si="1"/>
        <v>8.4445311680610757E-2</v>
      </c>
      <c r="J24">
        <f>+G24</f>
        <v>8.4445311680610757E-2</v>
      </c>
      <c r="O24">
        <f t="shared" ca="1" si="2"/>
        <v>8.6564034436146076E-2</v>
      </c>
      <c r="Q24" s="2">
        <f t="shared" si="3"/>
        <v>40916.035850000102</v>
      </c>
      <c r="R24" s="30" t="s">
        <v>43</v>
      </c>
      <c r="U24">
        <v>55937.548274485402</v>
      </c>
      <c r="V24">
        <v>0.24095315689076599</v>
      </c>
    </row>
    <row r="25" spans="1:27" x14ac:dyDescent="0.2">
      <c r="A25" t="s">
        <v>38</v>
      </c>
      <c r="C25" s="31">
        <v>55934.536530000158</v>
      </c>
      <c r="D25">
        <v>1.33E-3</v>
      </c>
      <c r="E25">
        <f t="shared" si="0"/>
        <v>5190.3532756961131</v>
      </c>
      <c r="F25">
        <f t="shared" si="4"/>
        <v>5190</v>
      </c>
      <c r="G25">
        <f t="shared" si="1"/>
        <v>8.5125311736192089E-2</v>
      </c>
      <c r="J25">
        <f>+G25</f>
        <v>8.5125311736192089E-2</v>
      </c>
      <c r="O25">
        <f t="shared" ca="1" si="2"/>
        <v>8.6564034436146076E-2</v>
      </c>
      <c r="Q25" s="2">
        <f t="shared" si="3"/>
        <v>40916.036530000158</v>
      </c>
      <c r="R25" s="30" t="s">
        <v>44</v>
      </c>
    </row>
    <row r="26" spans="1:27" x14ac:dyDescent="0.2">
      <c r="A26" t="s">
        <v>38</v>
      </c>
      <c r="C26" s="31">
        <v>55936.582739999983</v>
      </c>
      <c r="D26">
        <v>1.83E-3</v>
      </c>
      <c r="E26">
        <f t="shared" si="0"/>
        <v>5198.8451830659087</v>
      </c>
      <c r="F26">
        <f t="shared" si="4"/>
        <v>5198.5</v>
      </c>
      <c r="G26">
        <f t="shared" si="1"/>
        <v>8.3175311563536525E-2</v>
      </c>
      <c r="J26">
        <f>+G26</f>
        <v>8.3175311563536525E-2</v>
      </c>
      <c r="O26">
        <f t="shared" ca="1" si="2"/>
        <v>8.6712051413647948E-2</v>
      </c>
      <c r="Q26" s="2">
        <f t="shared" si="3"/>
        <v>40918.082739999983</v>
      </c>
      <c r="R26" s="30" t="s">
        <v>43</v>
      </c>
    </row>
    <row r="27" spans="1:27" x14ac:dyDescent="0.2">
      <c r="A27" t="s">
        <v>38</v>
      </c>
      <c r="C27" s="31">
        <v>55936.586070000194</v>
      </c>
      <c r="D27">
        <v>4.8999999999999998E-4</v>
      </c>
      <c r="E27">
        <f t="shared" si="0"/>
        <v>5198.8590027878981</v>
      </c>
      <c r="F27">
        <f t="shared" si="4"/>
        <v>5198.5</v>
      </c>
      <c r="G27">
        <f t="shared" si="1"/>
        <v>8.6505311774089932E-2</v>
      </c>
      <c r="J27">
        <f>+G27</f>
        <v>8.6505311774089932E-2</v>
      </c>
      <c r="O27">
        <f t="shared" ca="1" si="2"/>
        <v>8.6712051413647948E-2</v>
      </c>
      <c r="Q27" s="2">
        <f t="shared" si="3"/>
        <v>40918.086070000194</v>
      </c>
      <c r="R27" s="30" t="s">
        <v>44</v>
      </c>
    </row>
    <row r="28" spans="1:27" x14ac:dyDescent="0.2">
      <c r="A28" t="s">
        <v>38</v>
      </c>
      <c r="C28" s="31">
        <v>55937.549959999975</v>
      </c>
      <c r="D28">
        <v>5.5999999999999995E-4</v>
      </c>
      <c r="E28">
        <f t="shared" si="0"/>
        <v>5202.8592102903085</v>
      </c>
      <c r="F28">
        <f t="shared" si="4"/>
        <v>5202.5</v>
      </c>
      <c r="G28">
        <f t="shared" si="1"/>
        <v>8.6555311550910119E-2</v>
      </c>
      <c r="J28">
        <f>+G28</f>
        <v>8.6555311550910119E-2</v>
      </c>
      <c r="O28">
        <f t="shared" ca="1" si="2"/>
        <v>8.6781706461884128E-2</v>
      </c>
      <c r="Q28" s="2">
        <f t="shared" si="3"/>
        <v>40919.049959999975</v>
      </c>
      <c r="R28" s="30" t="s">
        <v>43</v>
      </c>
    </row>
    <row r="29" spans="1:27" x14ac:dyDescent="0.2">
      <c r="A29" t="s">
        <v>38</v>
      </c>
      <c r="C29" s="31">
        <v>55937.547449999955</v>
      </c>
      <c r="D29">
        <v>1.0399999999999999E-3</v>
      </c>
      <c r="E29">
        <f t="shared" si="0"/>
        <v>5202.848793623557</v>
      </c>
      <c r="F29">
        <f t="shared" si="4"/>
        <v>5202.5</v>
      </c>
      <c r="G29">
        <f t="shared" si="1"/>
        <v>8.404531153064454E-2</v>
      </c>
      <c r="J29">
        <f>+G29</f>
        <v>8.404531153064454E-2</v>
      </c>
      <c r="O29">
        <f t="shared" ca="1" si="2"/>
        <v>8.6781706461884128E-2</v>
      </c>
      <c r="Q29" s="2">
        <f t="shared" si="3"/>
        <v>40919.047449999955</v>
      </c>
      <c r="R29" s="30" t="s">
        <v>44</v>
      </c>
    </row>
    <row r="30" spans="1:27" x14ac:dyDescent="0.2">
      <c r="A30" s="49" t="s">
        <v>78</v>
      </c>
      <c r="B30" s="50" t="s">
        <v>79</v>
      </c>
      <c r="C30" s="51">
        <v>56540.357900000003</v>
      </c>
      <c r="D30" s="52">
        <v>3.8E-3</v>
      </c>
      <c r="E30">
        <f>+(C30-C$7)/C$8</f>
        <v>7704.552188378073</v>
      </c>
      <c r="F30">
        <f t="shared" si="4"/>
        <v>7704</v>
      </c>
      <c r="G30">
        <f>+C30-(C$7+F30*C$8)</f>
        <v>0.13305531158403028</v>
      </c>
      <c r="I30">
        <f>+G30</f>
        <v>0.13305531158403028</v>
      </c>
      <c r="O30">
        <f ca="1">+C$11+C$12*$F30</f>
        <v>0.13034223225258404</v>
      </c>
      <c r="Q30" s="2">
        <f>+C30-15018.5</f>
        <v>41521.857900000003</v>
      </c>
    </row>
    <row r="31" spans="1:27" x14ac:dyDescent="0.2">
      <c r="A31" s="49" t="s">
        <v>78</v>
      </c>
      <c r="B31" s="50" t="s">
        <v>79</v>
      </c>
      <c r="C31" s="51">
        <v>56540.480799999998</v>
      </c>
      <c r="D31" s="52">
        <v>7.3000000000000001E-3</v>
      </c>
      <c r="E31">
        <f>+(C31-C$7)/C$8</f>
        <v>7705.0622315387427</v>
      </c>
      <c r="F31">
        <f t="shared" si="4"/>
        <v>7704.5</v>
      </c>
      <c r="G31">
        <f>+C31-(C$7+F31*C$8)</f>
        <v>0.13547531157382764</v>
      </c>
      <c r="I31">
        <f>+G31</f>
        <v>0.13547531157382764</v>
      </c>
      <c r="O31">
        <f ca="1">+C$11+C$12*$F31</f>
        <v>0.13035093913361356</v>
      </c>
      <c r="Q31" s="2">
        <f>+C31-15018.5</f>
        <v>41521.980799999998</v>
      </c>
    </row>
    <row r="32" spans="1:27" x14ac:dyDescent="0.2">
      <c r="A32" s="49" t="s">
        <v>78</v>
      </c>
      <c r="B32" s="50" t="s">
        <v>79</v>
      </c>
      <c r="C32" s="51">
        <v>56540.5962</v>
      </c>
      <c r="D32" s="52">
        <v>2E-3</v>
      </c>
      <c r="E32">
        <f>+(C32-C$7)/C$8</f>
        <v>7705.5411492014346</v>
      </c>
      <c r="F32">
        <f t="shared" si="4"/>
        <v>7705</v>
      </c>
      <c r="G32">
        <f>+C32-(C$7+F32*C$8)</f>
        <v>0.13039531157846795</v>
      </c>
      <c r="I32">
        <f>+G32</f>
        <v>0.13039531157846795</v>
      </c>
      <c r="O32">
        <f ca="1">+C$11+C$12*$F32</f>
        <v>0.13035964601464309</v>
      </c>
      <c r="Q32" s="2">
        <f>+C32-15018.5</f>
        <v>41522.0962</v>
      </c>
    </row>
    <row r="33" spans="3:4" x14ac:dyDescent="0.2">
      <c r="C33" s="9"/>
      <c r="D33" s="9"/>
    </row>
    <row r="34" spans="3:4" x14ac:dyDescent="0.2">
      <c r="C34" s="9"/>
      <c r="D34" s="9"/>
    </row>
    <row r="35" spans="3:4" x14ac:dyDescent="0.2">
      <c r="C35" s="9"/>
      <c r="D35" s="9"/>
    </row>
    <row r="36" spans="3:4" x14ac:dyDescent="0.2">
      <c r="C36" s="9"/>
      <c r="D36" s="9"/>
    </row>
    <row r="37" spans="3:4" x14ac:dyDescent="0.2">
      <c r="C37" s="9"/>
      <c r="D37" s="9"/>
    </row>
    <row r="38" spans="3:4" x14ac:dyDescent="0.2">
      <c r="C38" s="9"/>
      <c r="D38" s="9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2024-01-20T05:57:58Z</dcterms:modified>
</cp:coreProperties>
</file>