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C43EA40-B88D-405E-AD4B-7D0DBDF36A4A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40" i="1"/>
  <c r="Q41" i="1"/>
  <c r="G13" i="2"/>
  <c r="C13" i="2"/>
  <c r="G12" i="2"/>
  <c r="C12" i="2"/>
  <c r="G32" i="2"/>
  <c r="C32" i="2"/>
  <c r="G31" i="2"/>
  <c r="C31" i="2"/>
  <c r="G11" i="2"/>
  <c r="C1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E14" i="2"/>
  <c r="H13" i="2"/>
  <c r="D13" i="2"/>
  <c r="B13" i="2"/>
  <c r="A13" i="2"/>
  <c r="H12" i="2"/>
  <c r="D12" i="2"/>
  <c r="B12" i="2"/>
  <c r="A12" i="2"/>
  <c r="H32" i="2"/>
  <c r="D32" i="2"/>
  <c r="B32" i="2"/>
  <c r="A32" i="2"/>
  <c r="H31" i="2"/>
  <c r="D31" i="2"/>
  <c r="B31" i="2"/>
  <c r="A31" i="2"/>
  <c r="H11" i="2"/>
  <c r="D11" i="2"/>
  <c r="B11" i="2"/>
  <c r="A1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Q42" i="1"/>
  <c r="Q43" i="1"/>
  <c r="F16" i="1"/>
  <c r="C17" i="1"/>
  <c r="Q39" i="1"/>
  <c r="C7" i="1"/>
  <c r="E21" i="1"/>
  <c r="F21" i="1"/>
  <c r="C8" i="1"/>
  <c r="Q38" i="1"/>
  <c r="E11" i="2"/>
  <c r="E26" i="2"/>
  <c r="E27" i="2"/>
  <c r="E25" i="2"/>
  <c r="E22" i="2"/>
  <c r="E28" i="2"/>
  <c r="E20" i="2"/>
  <c r="E29" i="2"/>
  <c r="E19" i="2"/>
  <c r="E41" i="1"/>
  <c r="F41" i="1"/>
  <c r="G33" i="1"/>
  <c r="I33" i="1"/>
  <c r="E31" i="1"/>
  <c r="F31" i="1"/>
  <c r="G31" i="1"/>
  <c r="I31" i="1"/>
  <c r="E23" i="1"/>
  <c r="F23" i="1"/>
  <c r="G23" i="1"/>
  <c r="I23" i="1"/>
  <c r="E36" i="1"/>
  <c r="F36" i="1"/>
  <c r="G36" i="1"/>
  <c r="I36" i="1"/>
  <c r="E28" i="1"/>
  <c r="F28" i="1"/>
  <c r="G43" i="1"/>
  <c r="I43" i="1"/>
  <c r="E38" i="1"/>
  <c r="F38" i="1"/>
  <c r="G38" i="1"/>
  <c r="H38" i="1"/>
  <c r="E33" i="1"/>
  <c r="F33" i="1"/>
  <c r="G27" i="1"/>
  <c r="I27" i="1"/>
  <c r="E25" i="1"/>
  <c r="F25" i="1"/>
  <c r="G25" i="1"/>
  <c r="I25" i="1"/>
  <c r="G39" i="1"/>
  <c r="I39" i="1"/>
  <c r="E40" i="1"/>
  <c r="F40" i="1"/>
  <c r="G40" i="1"/>
  <c r="I40" i="1"/>
  <c r="E30" i="1"/>
  <c r="F30" i="1"/>
  <c r="G30" i="1"/>
  <c r="I30" i="1"/>
  <c r="E22" i="1"/>
  <c r="F22" i="1"/>
  <c r="G22" i="1"/>
  <c r="I22" i="1"/>
  <c r="E43" i="1"/>
  <c r="F43" i="1"/>
  <c r="E35" i="1"/>
  <c r="F35" i="1"/>
  <c r="G35" i="1"/>
  <c r="I35" i="1"/>
  <c r="G29" i="1"/>
  <c r="I29" i="1"/>
  <c r="E27" i="1"/>
  <c r="F27" i="1"/>
  <c r="E39" i="1"/>
  <c r="F39" i="1"/>
  <c r="G34" i="1"/>
  <c r="I34" i="1"/>
  <c r="E32" i="1"/>
  <c r="F32" i="1"/>
  <c r="G32" i="1"/>
  <c r="I32" i="1"/>
  <c r="E24" i="1"/>
  <c r="F24" i="1"/>
  <c r="G24" i="1"/>
  <c r="I24" i="1"/>
  <c r="G21" i="1"/>
  <c r="G41" i="1"/>
  <c r="I41" i="1"/>
  <c r="E37" i="1"/>
  <c r="F37" i="1"/>
  <c r="G37" i="1"/>
  <c r="I37" i="1"/>
  <c r="E29" i="1"/>
  <c r="F29" i="1"/>
  <c r="E42" i="1"/>
  <c r="F42" i="1"/>
  <c r="G42" i="1"/>
  <c r="I42" i="1"/>
  <c r="E34" i="1"/>
  <c r="F34" i="1"/>
  <c r="G28" i="1"/>
  <c r="I28" i="1"/>
  <c r="E26" i="1"/>
  <c r="F26" i="1"/>
  <c r="G26" i="1"/>
  <c r="I26" i="1"/>
  <c r="E30" i="2"/>
  <c r="E31" i="2"/>
  <c r="E18" i="2"/>
  <c r="E21" i="2"/>
  <c r="I21" i="1"/>
  <c r="E17" i="2"/>
  <c r="E24" i="2"/>
  <c r="E13" i="2"/>
  <c r="E32" i="2"/>
  <c r="E16" i="2"/>
  <c r="E23" i="2"/>
  <c r="E12" i="2"/>
  <c r="E15" i="2"/>
  <c r="C11" i="1"/>
  <c r="C12" i="1"/>
  <c r="C16" i="1" l="1"/>
  <c r="D18" i="1" s="1"/>
  <c r="O29" i="1"/>
  <c r="O22" i="1"/>
  <c r="C15" i="1"/>
  <c r="O27" i="1"/>
  <c r="O23" i="1"/>
  <c r="O37" i="1"/>
  <c r="O30" i="1"/>
  <c r="O26" i="1"/>
  <c r="O35" i="1"/>
  <c r="O31" i="1"/>
  <c r="O24" i="1"/>
  <c r="O40" i="1"/>
  <c r="O32" i="1"/>
  <c r="O25" i="1"/>
  <c r="O43" i="1"/>
  <c r="O42" i="1"/>
  <c r="O33" i="1"/>
  <c r="O34" i="1"/>
  <c r="O41" i="1"/>
  <c r="O28" i="1"/>
  <c r="O36" i="1"/>
  <c r="O21" i="1"/>
  <c r="O39" i="1"/>
  <c r="O38" i="1"/>
  <c r="F17" i="1"/>
  <c r="C18" i="1" l="1"/>
  <c r="F18" i="1"/>
  <c r="F19" i="1" s="1"/>
</calcChain>
</file>

<file path=xl/sharedStrings.xml><?xml version="1.0" encoding="utf-8"?>
<sst xmlns="http://schemas.openxmlformats.org/spreadsheetml/2006/main" count="277" uniqueCount="139">
  <si>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</si>
  <si>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</si>
  <si>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</si>
  <si>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</si>
  <si>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</si>
  <si>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</si>
  <si>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</si>
  <si>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</si>
  <si>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</si>
  <si>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</si>
  <si>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</si>
  <si>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</si>
  <si>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</si>
  <si>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</si>
  <si>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</si>
  <si>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</si>
  <si>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</si>
  <si>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</si>
  <si>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</si>
  <si>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</si>
  <si>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</si>
  <si>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</si>
  <si>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</si>
  <si>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</si>
  <si>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</si>
  <si>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</si>
  <si>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</si>
  <si>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</si>
  <si>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</si>
  <si>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</si>
  <si>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</si>
  <si>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</si>
  <si>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</si>
  <si>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</si>
  <si>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</si>
  <si>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</si>
  <si>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BB Cep / GSC 4286-0902               </t>
  </si>
  <si>
    <t>EA/DS</t>
  </si>
  <si>
    <t>IBVS 5809</t>
  </si>
  <si>
    <t>Add cycle</t>
  </si>
  <si>
    <t>Old Cycle</t>
  </si>
  <si>
    <t>OEJV 0172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</si>
  <si>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</si>
  <si>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</si>
  <si>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</si>
  <si>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</si>
  <si>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</si>
  <si>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</si>
  <si>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</si>
  <si>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</si>
  <si>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</si>
  <si>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</si>
  <si>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</si>
  <si>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</si>
  <si>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2427327.51 </t>
  </si>
  <si>
    <t> 12.09.1933 00:14 </t>
  </si>
  <si>
    <t> 0.00 </t>
  </si>
  <si>
    <t>P </t>
  </si>
  <si>
    <t> C.Hoffmeister </t>
  </si>
  <si>
    <t> KVBB 24.115 </t>
  </si>
  <si>
    <t>2427689.53 </t>
  </si>
  <si>
    <t> 09.09.1934 00:43 </t>
  </si>
  <si>
    <t> -0.21 </t>
  </si>
  <si>
    <t>2427750.226 </t>
  </si>
  <si>
    <t> 08.11.1934 17:25 </t>
  </si>
  <si>
    <t> 0.118 </t>
  </si>
  <si>
    <t> N.B.Perova </t>
  </si>
  <si>
    <t> AC 205.24 </t>
  </si>
  <si>
    <t>2427871.46 </t>
  </si>
  <si>
    <t> 09.03.1935 23:02 </t>
  </si>
  <si>
    <t> 0.61 </t>
  </si>
  <si>
    <t>2428081.83 </t>
  </si>
  <si>
    <t> 06.10.1935 07:55 </t>
  </si>
  <si>
    <t> -0.32 </t>
  </si>
  <si>
    <t> N.M.Schackovskoj </t>
  </si>
  <si>
    <t> BSAO 18.29 </t>
  </si>
  <si>
    <t>2428082.338 </t>
  </si>
  <si>
    <t> 06.10.1935 20:06 </t>
  </si>
  <si>
    <t> 0.188 </t>
  </si>
  <si>
    <t>2428111.36 </t>
  </si>
  <si>
    <t> 04.11.1935 20:38 </t>
  </si>
  <si>
    <t> -0.98 </t>
  </si>
  <si>
    <t>2429108.21 </t>
  </si>
  <si>
    <t> 28.07.1938 17:02 </t>
  </si>
  <si>
    <t> -0.25 </t>
  </si>
  <si>
    <t>V </t>
  </si>
  <si>
    <t>2429168.97 </t>
  </si>
  <si>
    <t> 27.09.1938 11:16 </t>
  </si>
  <si>
    <t> 0.14 </t>
  </si>
  <si>
    <t>2429229.301 </t>
  </si>
  <si>
    <t> 26.11.1938 19:13 </t>
  </si>
  <si>
    <t> 0.098 </t>
  </si>
  <si>
    <t>2430587.419 </t>
  </si>
  <si>
    <t> 15.08.1942 22:03 </t>
  </si>
  <si>
    <t> -0.136 </t>
  </si>
  <si>
    <t>2433153.450 </t>
  </si>
  <si>
    <t> 24.08.1949 22:48 </t>
  </si>
  <si>
    <t> 0.119 </t>
  </si>
  <si>
    <t>2433214.248 </t>
  </si>
  <si>
    <t> 24.10.1949 17:57 </t>
  </si>
  <si>
    <t> 0.546 </t>
  </si>
  <si>
    <t>2434240.334 </t>
  </si>
  <si>
    <t> 15.08.1952 20:00 </t>
  </si>
  <si>
    <t> 0.322 </t>
  </si>
  <si>
    <t>2434330.483 </t>
  </si>
  <si>
    <t> 13.11.1952 23:35 </t>
  </si>
  <si>
    <t> -0.086 </t>
  </si>
  <si>
    <t>2434481.52 </t>
  </si>
  <si>
    <t> 14.04.1953 00:28 </t>
  </si>
  <si>
    <t> 0.02 </t>
  </si>
  <si>
    <t> R.Szafraniec </t>
  </si>
  <si>
    <t> AAC 5.193 </t>
  </si>
  <si>
    <t>2435447.184 </t>
  </si>
  <si>
    <t> 05.12.1955 16:24 </t>
  </si>
  <si>
    <t> -0.252 </t>
  </si>
  <si>
    <t>2453046.07 </t>
  </si>
  <si>
    <t> 10.02.2004 13:40 </t>
  </si>
  <si>
    <t> 0.43 </t>
  </si>
  <si>
    <t>C </t>
  </si>
  <si>
    <t> P.Sobotka (ESA INTEGRAL) </t>
  </si>
  <si>
    <t>IBVS 5809 </t>
  </si>
  <si>
    <t>2454011.984 </t>
  </si>
  <si>
    <t> 03.10.2006 11:36 </t>
  </si>
  <si>
    <t> 0.404 </t>
  </si>
  <si>
    <t>Ic</t>
  </si>
  <si>
    <t> A.Paschke </t>
  </si>
  <si>
    <t>OEJV 0116 </t>
  </si>
  <si>
    <t>2454011.986 </t>
  </si>
  <si>
    <t> 03.10.2006 11:39 </t>
  </si>
  <si>
    <t> 0.406 </t>
  </si>
  <si>
    <t>Vj</t>
  </si>
  <si>
    <t>2457030.644 </t>
  </si>
  <si>
    <t> 08.01.2015 03:27 </t>
  </si>
  <si>
    <t> 0.504 </t>
  </si>
  <si>
    <t>OEJV 0172 </t>
  </si>
  <si>
    <t>2457030.651 </t>
  </si>
  <si>
    <t> 08.01.2015 03:37 </t>
  </si>
  <si>
    <t> 0.511 </t>
  </si>
  <si>
    <t>OEJV 0116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</si>
</sst>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</font>
    <font>
      <sz val="10"/>
      <color indexed="16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center" wrapText="1"/>
    </xf>
    <xf numFmtId="0" fontId="17" fillId="0" borderId="0" xfId="0" applyNumberFormat="1" applyFont="1" applyFill="1" applyBorder="1" applyAlignment="1" applyProtection="1">
      <alignment horizontal="left" vertical="top"/>
    </xf>
    <xf numFmtId="0" fontId="18" fillId="0" borderId="0" xfId="0" applyNumberFormat="1" applyFont="1" applyFill="1" applyBorder="1" applyAlignment="1" applyProtection="1">
      <alignment horizontal="center" vertical="top"/>
    </xf>
    <xf numFmtId="172" fontId="18" fillId="0" borderId="0" xfId="0" applyNumberFormat="1" applyFont="1" applyFill="1" applyBorder="1" applyAlignment="1" applyProtection="1">
      <alignment horizontal="left" vertical="top"/>
    </xf>
    <xf numFmtId="0" fontId="19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20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20" fillId="2" borderId="11" xfId="7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22" fillId="0" borderId="0" xfId="0" applyFont="1" applyAlignment="1"/>
    <xf numFmtId="14" fontId="22" fillId="0" borderId="0" xfId="0" applyNumberFormat="1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BB Cep - O-C Diagr.</a:t>
            </a:r>
          </a:p>
        </c:rich>
      </c:tx>
      <c:layout>
        <c:manualLayout>
          <c:xMode val="edge"/>
          <c:yMode val="edge"/>
          <c:x val="0.38345864661654133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3994189017784567"/>
          <c:w val="0.83007518796992485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0.01</c:v>
                  </c:pt>
                  <c:pt idx="19">
                    <c:v>0</c:v>
                  </c:pt>
                  <c:pt idx="20">
                    <c:v>0</c:v>
                  </c:pt>
                  <c:pt idx="21">
                    <c:v>0.04</c:v>
                  </c:pt>
                  <c:pt idx="22">
                    <c:v>0.04</c:v>
                  </c:pt>
                </c:numCache>
              </c:numRef>
            </c:plus>
            <c:minus>
              <c:numRef>
                <c:f>A!$D$21:$D$222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0.01</c:v>
                  </c:pt>
                  <c:pt idx="19">
                    <c:v>0</c:v>
                  </c:pt>
                  <c:pt idx="20">
                    <c:v>0</c:v>
                  </c:pt>
                  <c:pt idx="21">
                    <c:v>0.04</c:v>
                  </c:pt>
                  <c:pt idx="22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A!$F$21:$F$982</c:f>
              <c:numCache>
                <c:formatCode>General</c:formatCode>
                <c:ptCount val="962"/>
                <c:pt idx="0">
                  <c:v>-834</c:v>
                </c:pt>
                <c:pt idx="1">
                  <c:v>-822</c:v>
                </c:pt>
                <c:pt idx="2">
                  <c:v>-820</c:v>
                </c:pt>
                <c:pt idx="3">
                  <c:v>-816</c:v>
                </c:pt>
                <c:pt idx="4">
                  <c:v>-809</c:v>
                </c:pt>
                <c:pt idx="5">
                  <c:v>-809</c:v>
                </c:pt>
                <c:pt idx="6">
                  <c:v>-808</c:v>
                </c:pt>
                <c:pt idx="7">
                  <c:v>-775</c:v>
                </c:pt>
                <c:pt idx="8">
                  <c:v>-773</c:v>
                </c:pt>
                <c:pt idx="9">
                  <c:v>-771</c:v>
                </c:pt>
                <c:pt idx="10">
                  <c:v>-726</c:v>
                </c:pt>
                <c:pt idx="11">
                  <c:v>-641</c:v>
                </c:pt>
                <c:pt idx="12">
                  <c:v>-639</c:v>
                </c:pt>
                <c:pt idx="13">
                  <c:v>-605</c:v>
                </c:pt>
                <c:pt idx="14">
                  <c:v>-602</c:v>
                </c:pt>
                <c:pt idx="15">
                  <c:v>-597</c:v>
                </c:pt>
                <c:pt idx="16">
                  <c:v>-565</c:v>
                </c:pt>
                <c:pt idx="17">
                  <c:v>0</c:v>
                </c:pt>
                <c:pt idx="18">
                  <c:v>18</c:v>
                </c:pt>
                <c:pt idx="19">
                  <c:v>50</c:v>
                </c:pt>
                <c:pt idx="20">
                  <c:v>50</c:v>
                </c:pt>
                <c:pt idx="21">
                  <c:v>150</c:v>
                </c:pt>
                <c:pt idx="22">
                  <c:v>150</c:v>
                </c:pt>
              </c:numCache>
            </c:numRef>
          </c:xVal>
          <c:yVal>
            <c:numRef>
              <c:f>A!$H$21:$H$982</c:f>
              <c:numCache>
                <c:formatCode>General</c:formatCode>
                <c:ptCount val="962"/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27-4711-856B-B9B9A574EDD4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0.01</c:v>
                  </c:pt>
                  <c:pt idx="19">
                    <c:v>0</c:v>
                  </c:pt>
                  <c:pt idx="20">
                    <c:v>0</c:v>
                  </c:pt>
                  <c:pt idx="21">
                    <c:v>0.04</c:v>
                  </c:pt>
                  <c:pt idx="22">
                    <c:v>0.04</c:v>
                  </c:pt>
                </c:numCache>
              </c:numRef>
            </c:plus>
            <c:minus>
              <c:numRef>
                <c:f>A!$D$21:$D$982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0.01</c:v>
                  </c:pt>
                  <c:pt idx="19">
                    <c:v>0</c:v>
                  </c:pt>
                  <c:pt idx="20">
                    <c:v>0</c:v>
                  </c:pt>
                  <c:pt idx="21">
                    <c:v>0.04</c:v>
                  </c:pt>
                  <c:pt idx="22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A!$F$21:$F$982</c:f>
              <c:numCache>
                <c:formatCode>General</c:formatCode>
                <c:ptCount val="962"/>
                <c:pt idx="0">
                  <c:v>-834</c:v>
                </c:pt>
                <c:pt idx="1">
                  <c:v>-822</c:v>
                </c:pt>
                <c:pt idx="2">
                  <c:v>-820</c:v>
                </c:pt>
                <c:pt idx="3">
                  <c:v>-816</c:v>
                </c:pt>
                <c:pt idx="4">
                  <c:v>-809</c:v>
                </c:pt>
                <c:pt idx="5">
                  <c:v>-809</c:v>
                </c:pt>
                <c:pt idx="6">
                  <c:v>-808</c:v>
                </c:pt>
                <c:pt idx="7">
                  <c:v>-775</c:v>
                </c:pt>
                <c:pt idx="8">
                  <c:v>-773</c:v>
                </c:pt>
                <c:pt idx="9">
                  <c:v>-771</c:v>
                </c:pt>
                <c:pt idx="10">
                  <c:v>-726</c:v>
                </c:pt>
                <c:pt idx="11">
                  <c:v>-641</c:v>
                </c:pt>
                <c:pt idx="12">
                  <c:v>-639</c:v>
                </c:pt>
                <c:pt idx="13">
                  <c:v>-605</c:v>
                </c:pt>
                <c:pt idx="14">
                  <c:v>-602</c:v>
                </c:pt>
                <c:pt idx="15">
                  <c:v>-597</c:v>
                </c:pt>
                <c:pt idx="16">
                  <c:v>-565</c:v>
                </c:pt>
                <c:pt idx="17">
                  <c:v>0</c:v>
                </c:pt>
                <c:pt idx="18">
                  <c:v>18</c:v>
                </c:pt>
                <c:pt idx="19">
                  <c:v>50</c:v>
                </c:pt>
                <c:pt idx="20">
                  <c:v>50</c:v>
                </c:pt>
                <c:pt idx="21">
                  <c:v>150</c:v>
                </c:pt>
                <c:pt idx="22">
                  <c:v>150</c:v>
                </c:pt>
              </c:numCache>
            </c:numRef>
          </c:xVal>
          <c:yVal>
            <c:numRef>
              <c:f>A!$I$21:$I$982</c:f>
              <c:numCache>
                <c:formatCode>General</c:formatCode>
                <c:ptCount val="962"/>
                <c:pt idx="0">
                  <c:v>0.10080000000016298</c:v>
                </c:pt>
                <c:pt idx="1">
                  <c:v>-0.11359999999694992</c:v>
                </c:pt>
                <c:pt idx="2">
                  <c:v>0.21000000000276486</c:v>
                </c:pt>
                <c:pt idx="3">
                  <c:v>0.6992000000027474</c:v>
                </c:pt>
                <c:pt idx="4">
                  <c:v>-0.23419999999532592</c:v>
                </c:pt>
                <c:pt idx="5">
                  <c:v>0.27380000000266591</c:v>
                </c:pt>
                <c:pt idx="6">
                  <c:v>-0.89039999999658903</c:v>
                </c:pt>
                <c:pt idx="7">
                  <c:v>-0.18499999999767169</c:v>
                </c:pt>
                <c:pt idx="8">
                  <c:v>0.20260000000416767</c:v>
                </c:pt>
                <c:pt idx="9">
                  <c:v>0.16120000000228174</c:v>
                </c:pt>
                <c:pt idx="10">
                  <c:v>-9.9799999996321276E-2</c:v>
                </c:pt>
                <c:pt idx="11">
                  <c:v>0.10420000000158325</c:v>
                </c:pt>
                <c:pt idx="12">
                  <c:v>0.52980000000388827</c:v>
                </c:pt>
                <c:pt idx="13">
                  <c:v>0.28500000000349246</c:v>
                </c:pt>
                <c:pt idx="14">
                  <c:v>-0.12459999999555293</c:v>
                </c:pt>
                <c:pt idx="15">
                  <c:v>-1.8600000003061723E-2</c:v>
                </c:pt>
                <c:pt idx="16">
                  <c:v>-0.3129999999946449</c:v>
                </c:pt>
                <c:pt idx="18">
                  <c:v>1.840000000083819E-2</c:v>
                </c:pt>
                <c:pt idx="19">
                  <c:v>-2.599999999802094E-2</c:v>
                </c:pt>
                <c:pt idx="20">
                  <c:v>-2.3999999997613486E-2</c:v>
                </c:pt>
                <c:pt idx="21">
                  <c:v>1.4000000002852175E-2</c:v>
                </c:pt>
                <c:pt idx="22">
                  <c:v>2.1000000000640284E-2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27-4711-856B-B9B9A574EDD4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0.01</c:v>
                  </c:pt>
                  <c:pt idx="19">
                    <c:v>0</c:v>
                  </c:pt>
                  <c:pt idx="20">
                    <c:v>0</c:v>
                  </c:pt>
                  <c:pt idx="21">
                    <c:v>0.04</c:v>
                  </c:pt>
                  <c:pt idx="22">
                    <c:v>0.04</c:v>
                  </c:pt>
                </c:numCache>
              </c:numRef>
            </c:plus>
            <c:minus>
              <c:numRef>
                <c:f>A!$D$21:$D$982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0.01</c:v>
                  </c:pt>
                  <c:pt idx="19">
                    <c:v>0</c:v>
                  </c:pt>
                  <c:pt idx="20">
                    <c:v>0</c:v>
                  </c:pt>
                  <c:pt idx="21">
                    <c:v>0.04</c:v>
                  </c:pt>
                  <c:pt idx="22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A!$F$21:$F$982</c:f>
              <c:numCache>
                <c:formatCode>General</c:formatCode>
                <c:ptCount val="962"/>
                <c:pt idx="0">
                  <c:v>-834</c:v>
                </c:pt>
                <c:pt idx="1">
                  <c:v>-822</c:v>
                </c:pt>
                <c:pt idx="2">
                  <c:v>-820</c:v>
                </c:pt>
                <c:pt idx="3">
                  <c:v>-816</c:v>
                </c:pt>
                <c:pt idx="4">
                  <c:v>-809</c:v>
                </c:pt>
                <c:pt idx="5">
                  <c:v>-809</c:v>
                </c:pt>
                <c:pt idx="6">
                  <c:v>-808</c:v>
                </c:pt>
                <c:pt idx="7">
                  <c:v>-775</c:v>
                </c:pt>
                <c:pt idx="8">
                  <c:v>-773</c:v>
                </c:pt>
                <c:pt idx="9">
                  <c:v>-771</c:v>
                </c:pt>
                <c:pt idx="10">
                  <c:v>-726</c:v>
                </c:pt>
                <c:pt idx="11">
                  <c:v>-641</c:v>
                </c:pt>
                <c:pt idx="12">
                  <c:v>-639</c:v>
                </c:pt>
                <c:pt idx="13">
                  <c:v>-605</c:v>
                </c:pt>
                <c:pt idx="14">
                  <c:v>-602</c:v>
                </c:pt>
                <c:pt idx="15">
                  <c:v>-597</c:v>
                </c:pt>
                <c:pt idx="16">
                  <c:v>-565</c:v>
                </c:pt>
                <c:pt idx="17">
                  <c:v>0</c:v>
                </c:pt>
                <c:pt idx="18">
                  <c:v>18</c:v>
                </c:pt>
                <c:pt idx="19">
                  <c:v>50</c:v>
                </c:pt>
                <c:pt idx="20">
                  <c:v>50</c:v>
                </c:pt>
                <c:pt idx="21">
                  <c:v>150</c:v>
                </c:pt>
                <c:pt idx="22">
                  <c:v>150</c:v>
                </c:pt>
              </c:numCache>
            </c:numRef>
          </c:xVal>
          <c:yVal>
            <c:numRef>
              <c:f>A!$J$21:$J$982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27-4711-856B-B9B9A574EDD4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0.01</c:v>
                  </c:pt>
                  <c:pt idx="19">
                    <c:v>0</c:v>
                  </c:pt>
                  <c:pt idx="20">
                    <c:v>0</c:v>
                  </c:pt>
                  <c:pt idx="21">
                    <c:v>0.04</c:v>
                  </c:pt>
                  <c:pt idx="22">
                    <c:v>0.04</c:v>
                  </c:pt>
                </c:numCache>
              </c:numRef>
            </c:plus>
            <c:minus>
              <c:numRef>
                <c:f>A!$D$21:$D$982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0.01</c:v>
                  </c:pt>
                  <c:pt idx="19">
                    <c:v>0</c:v>
                  </c:pt>
                  <c:pt idx="20">
                    <c:v>0</c:v>
                  </c:pt>
                  <c:pt idx="21">
                    <c:v>0.04</c:v>
                  </c:pt>
                  <c:pt idx="22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A!$F$21:$F$982</c:f>
              <c:numCache>
                <c:formatCode>General</c:formatCode>
                <c:ptCount val="962"/>
                <c:pt idx="0">
                  <c:v>-834</c:v>
                </c:pt>
                <c:pt idx="1">
                  <c:v>-822</c:v>
                </c:pt>
                <c:pt idx="2">
                  <c:v>-820</c:v>
                </c:pt>
                <c:pt idx="3">
                  <c:v>-816</c:v>
                </c:pt>
                <c:pt idx="4">
                  <c:v>-809</c:v>
                </c:pt>
                <c:pt idx="5">
                  <c:v>-809</c:v>
                </c:pt>
                <c:pt idx="6">
                  <c:v>-808</c:v>
                </c:pt>
                <c:pt idx="7">
                  <c:v>-775</c:v>
                </c:pt>
                <c:pt idx="8">
                  <c:v>-773</c:v>
                </c:pt>
                <c:pt idx="9">
                  <c:v>-771</c:v>
                </c:pt>
                <c:pt idx="10">
                  <c:v>-726</c:v>
                </c:pt>
                <c:pt idx="11">
                  <c:v>-641</c:v>
                </c:pt>
                <c:pt idx="12">
                  <c:v>-639</c:v>
                </c:pt>
                <c:pt idx="13">
                  <c:v>-605</c:v>
                </c:pt>
                <c:pt idx="14">
                  <c:v>-602</c:v>
                </c:pt>
                <c:pt idx="15">
                  <c:v>-597</c:v>
                </c:pt>
                <c:pt idx="16">
                  <c:v>-565</c:v>
                </c:pt>
                <c:pt idx="17">
                  <c:v>0</c:v>
                </c:pt>
                <c:pt idx="18">
                  <c:v>18</c:v>
                </c:pt>
                <c:pt idx="19">
                  <c:v>50</c:v>
                </c:pt>
                <c:pt idx="20">
                  <c:v>50</c:v>
                </c:pt>
                <c:pt idx="21">
                  <c:v>150</c:v>
                </c:pt>
                <c:pt idx="22">
                  <c:v>150</c:v>
                </c:pt>
              </c:numCache>
            </c:numRef>
          </c:xVal>
          <c:yVal>
            <c:numRef>
              <c:f>A!$K$21:$K$982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27-4711-856B-B9B9A574EDD4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0.01</c:v>
                  </c:pt>
                  <c:pt idx="19">
                    <c:v>0</c:v>
                  </c:pt>
                  <c:pt idx="20">
                    <c:v>0</c:v>
                  </c:pt>
                  <c:pt idx="21">
                    <c:v>0.04</c:v>
                  </c:pt>
                  <c:pt idx="22">
                    <c:v>0.04</c:v>
                  </c:pt>
                </c:numCache>
              </c:numRef>
            </c:plus>
            <c:minus>
              <c:numRef>
                <c:f>A!$D$21:$D$982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0.01</c:v>
                  </c:pt>
                  <c:pt idx="19">
                    <c:v>0</c:v>
                  </c:pt>
                  <c:pt idx="20">
                    <c:v>0</c:v>
                  </c:pt>
                  <c:pt idx="21">
                    <c:v>0.04</c:v>
                  </c:pt>
                  <c:pt idx="22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A!$F$21:$F$982</c:f>
              <c:numCache>
                <c:formatCode>General</c:formatCode>
                <c:ptCount val="962"/>
                <c:pt idx="0">
                  <c:v>-834</c:v>
                </c:pt>
                <c:pt idx="1">
                  <c:v>-822</c:v>
                </c:pt>
                <c:pt idx="2">
                  <c:v>-820</c:v>
                </c:pt>
                <c:pt idx="3">
                  <c:v>-816</c:v>
                </c:pt>
                <c:pt idx="4">
                  <c:v>-809</c:v>
                </c:pt>
                <c:pt idx="5">
                  <c:v>-809</c:v>
                </c:pt>
                <c:pt idx="6">
                  <c:v>-808</c:v>
                </c:pt>
                <c:pt idx="7">
                  <c:v>-775</c:v>
                </c:pt>
                <c:pt idx="8">
                  <c:v>-773</c:v>
                </c:pt>
                <c:pt idx="9">
                  <c:v>-771</c:v>
                </c:pt>
                <c:pt idx="10">
                  <c:v>-726</c:v>
                </c:pt>
                <c:pt idx="11">
                  <c:v>-641</c:v>
                </c:pt>
                <c:pt idx="12">
                  <c:v>-639</c:v>
                </c:pt>
                <c:pt idx="13">
                  <c:v>-605</c:v>
                </c:pt>
                <c:pt idx="14">
                  <c:v>-602</c:v>
                </c:pt>
                <c:pt idx="15">
                  <c:v>-597</c:v>
                </c:pt>
                <c:pt idx="16">
                  <c:v>-565</c:v>
                </c:pt>
                <c:pt idx="17">
                  <c:v>0</c:v>
                </c:pt>
                <c:pt idx="18">
                  <c:v>18</c:v>
                </c:pt>
                <c:pt idx="19">
                  <c:v>50</c:v>
                </c:pt>
                <c:pt idx="20">
                  <c:v>50</c:v>
                </c:pt>
                <c:pt idx="21">
                  <c:v>150</c:v>
                </c:pt>
                <c:pt idx="22">
                  <c:v>150</c:v>
                </c:pt>
              </c:numCache>
            </c:numRef>
          </c:xVal>
          <c:yVal>
            <c:numRef>
              <c:f>A!$L$21:$L$982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427-4711-856B-B9B9A574EDD4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0.01</c:v>
                  </c:pt>
                  <c:pt idx="19">
                    <c:v>0</c:v>
                  </c:pt>
                  <c:pt idx="20">
                    <c:v>0</c:v>
                  </c:pt>
                  <c:pt idx="21">
                    <c:v>0.04</c:v>
                  </c:pt>
                  <c:pt idx="22">
                    <c:v>0.04</c:v>
                  </c:pt>
                </c:numCache>
              </c:numRef>
            </c:plus>
            <c:minus>
              <c:numRef>
                <c:f>A!$D$21:$D$982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0.01</c:v>
                  </c:pt>
                  <c:pt idx="19">
                    <c:v>0</c:v>
                  </c:pt>
                  <c:pt idx="20">
                    <c:v>0</c:v>
                  </c:pt>
                  <c:pt idx="21">
                    <c:v>0.04</c:v>
                  </c:pt>
                  <c:pt idx="22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A!$F$21:$F$982</c:f>
              <c:numCache>
                <c:formatCode>General</c:formatCode>
                <c:ptCount val="962"/>
                <c:pt idx="0">
                  <c:v>-834</c:v>
                </c:pt>
                <c:pt idx="1">
                  <c:v>-822</c:v>
                </c:pt>
                <c:pt idx="2">
                  <c:v>-820</c:v>
                </c:pt>
                <c:pt idx="3">
                  <c:v>-816</c:v>
                </c:pt>
                <c:pt idx="4">
                  <c:v>-809</c:v>
                </c:pt>
                <c:pt idx="5">
                  <c:v>-809</c:v>
                </c:pt>
                <c:pt idx="6">
                  <c:v>-808</c:v>
                </c:pt>
                <c:pt idx="7">
                  <c:v>-775</c:v>
                </c:pt>
                <c:pt idx="8">
                  <c:v>-773</c:v>
                </c:pt>
                <c:pt idx="9">
                  <c:v>-771</c:v>
                </c:pt>
                <c:pt idx="10">
                  <c:v>-726</c:v>
                </c:pt>
                <c:pt idx="11">
                  <c:v>-641</c:v>
                </c:pt>
                <c:pt idx="12">
                  <c:v>-639</c:v>
                </c:pt>
                <c:pt idx="13">
                  <c:v>-605</c:v>
                </c:pt>
                <c:pt idx="14">
                  <c:v>-602</c:v>
                </c:pt>
                <c:pt idx="15">
                  <c:v>-597</c:v>
                </c:pt>
                <c:pt idx="16">
                  <c:v>-565</c:v>
                </c:pt>
                <c:pt idx="17">
                  <c:v>0</c:v>
                </c:pt>
                <c:pt idx="18">
                  <c:v>18</c:v>
                </c:pt>
                <c:pt idx="19">
                  <c:v>50</c:v>
                </c:pt>
                <c:pt idx="20">
                  <c:v>50</c:v>
                </c:pt>
                <c:pt idx="21">
                  <c:v>150</c:v>
                </c:pt>
                <c:pt idx="22">
                  <c:v>150</c:v>
                </c:pt>
              </c:numCache>
            </c:numRef>
          </c:xVal>
          <c:yVal>
            <c:numRef>
              <c:f>A!$M$21:$M$982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427-4711-856B-B9B9A574EDD4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0.01</c:v>
                  </c:pt>
                  <c:pt idx="19">
                    <c:v>0</c:v>
                  </c:pt>
                  <c:pt idx="20">
                    <c:v>0</c:v>
                  </c:pt>
                  <c:pt idx="21">
                    <c:v>0.04</c:v>
                  </c:pt>
                  <c:pt idx="22">
                    <c:v>0.04</c:v>
                  </c:pt>
                </c:numCache>
              </c:numRef>
            </c:plus>
            <c:minus>
              <c:numRef>
                <c:f>A!$D$21:$D$982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0.01</c:v>
                  </c:pt>
                  <c:pt idx="19">
                    <c:v>0</c:v>
                  </c:pt>
                  <c:pt idx="20">
                    <c:v>0</c:v>
                  </c:pt>
                  <c:pt idx="21">
                    <c:v>0.04</c:v>
                  </c:pt>
                  <c:pt idx="22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A!$F$21:$F$982</c:f>
              <c:numCache>
                <c:formatCode>General</c:formatCode>
                <c:ptCount val="962"/>
                <c:pt idx="0">
                  <c:v>-834</c:v>
                </c:pt>
                <c:pt idx="1">
                  <c:v>-822</c:v>
                </c:pt>
                <c:pt idx="2">
                  <c:v>-820</c:v>
                </c:pt>
                <c:pt idx="3">
                  <c:v>-816</c:v>
                </c:pt>
                <c:pt idx="4">
                  <c:v>-809</c:v>
                </c:pt>
                <c:pt idx="5">
                  <c:v>-809</c:v>
                </c:pt>
                <c:pt idx="6">
                  <c:v>-808</c:v>
                </c:pt>
                <c:pt idx="7">
                  <c:v>-775</c:v>
                </c:pt>
                <c:pt idx="8">
                  <c:v>-773</c:v>
                </c:pt>
                <c:pt idx="9">
                  <c:v>-771</c:v>
                </c:pt>
                <c:pt idx="10">
                  <c:v>-726</c:v>
                </c:pt>
                <c:pt idx="11">
                  <c:v>-641</c:v>
                </c:pt>
                <c:pt idx="12">
                  <c:v>-639</c:v>
                </c:pt>
                <c:pt idx="13">
                  <c:v>-605</c:v>
                </c:pt>
                <c:pt idx="14">
                  <c:v>-602</c:v>
                </c:pt>
                <c:pt idx="15">
                  <c:v>-597</c:v>
                </c:pt>
                <c:pt idx="16">
                  <c:v>-565</c:v>
                </c:pt>
                <c:pt idx="17">
                  <c:v>0</c:v>
                </c:pt>
                <c:pt idx="18">
                  <c:v>18</c:v>
                </c:pt>
                <c:pt idx="19">
                  <c:v>50</c:v>
                </c:pt>
                <c:pt idx="20">
                  <c:v>50</c:v>
                </c:pt>
                <c:pt idx="21">
                  <c:v>150</c:v>
                </c:pt>
                <c:pt idx="22">
                  <c:v>150</c:v>
                </c:pt>
              </c:numCache>
            </c:numRef>
          </c:xVal>
          <c:yVal>
            <c:numRef>
              <c:f>A!$N$21:$N$982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427-4711-856B-B9B9A574EDD4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A!$F$21:$F$982</c:f>
              <c:numCache>
                <c:formatCode>General</c:formatCode>
                <c:ptCount val="962"/>
                <c:pt idx="0">
                  <c:v>-834</c:v>
                </c:pt>
                <c:pt idx="1">
                  <c:v>-822</c:v>
                </c:pt>
                <c:pt idx="2">
                  <c:v>-820</c:v>
                </c:pt>
                <c:pt idx="3">
                  <c:v>-816</c:v>
                </c:pt>
                <c:pt idx="4">
                  <c:v>-809</c:v>
                </c:pt>
                <c:pt idx="5">
                  <c:v>-809</c:v>
                </c:pt>
                <c:pt idx="6">
                  <c:v>-808</c:v>
                </c:pt>
                <c:pt idx="7">
                  <c:v>-775</c:v>
                </c:pt>
                <c:pt idx="8">
                  <c:v>-773</c:v>
                </c:pt>
                <c:pt idx="9">
                  <c:v>-771</c:v>
                </c:pt>
                <c:pt idx="10">
                  <c:v>-726</c:v>
                </c:pt>
                <c:pt idx="11">
                  <c:v>-641</c:v>
                </c:pt>
                <c:pt idx="12">
                  <c:v>-639</c:v>
                </c:pt>
                <c:pt idx="13">
                  <c:v>-605</c:v>
                </c:pt>
                <c:pt idx="14">
                  <c:v>-602</c:v>
                </c:pt>
                <c:pt idx="15">
                  <c:v>-597</c:v>
                </c:pt>
                <c:pt idx="16">
                  <c:v>-565</c:v>
                </c:pt>
                <c:pt idx="17">
                  <c:v>0</c:v>
                </c:pt>
                <c:pt idx="18">
                  <c:v>18</c:v>
                </c:pt>
                <c:pt idx="19">
                  <c:v>50</c:v>
                </c:pt>
                <c:pt idx="20">
                  <c:v>50</c:v>
                </c:pt>
                <c:pt idx="21">
                  <c:v>150</c:v>
                </c:pt>
                <c:pt idx="22">
                  <c:v>150</c:v>
                </c:pt>
              </c:numCache>
            </c:numRef>
          </c:xVal>
          <c:yVal>
            <c:numRef>
              <c:f>A!$O$21:$O$982</c:f>
              <c:numCache>
                <c:formatCode>General</c:formatCode>
                <c:ptCount val="962"/>
                <c:pt idx="0">
                  <c:v>3.7598615734555182E-2</c:v>
                </c:pt>
                <c:pt idx="1">
                  <c:v>3.7141239838330745E-2</c:v>
                </c:pt>
                <c:pt idx="2">
                  <c:v>3.7065010522293343E-2</c:v>
                </c:pt>
                <c:pt idx="3">
                  <c:v>3.6912551890218526E-2</c:v>
                </c:pt>
                <c:pt idx="4">
                  <c:v>3.6645749284087606E-2</c:v>
                </c:pt>
                <c:pt idx="5">
                  <c:v>3.6645749284087606E-2</c:v>
                </c:pt>
                <c:pt idx="6">
                  <c:v>3.6607634626068905E-2</c:v>
                </c:pt>
                <c:pt idx="7">
                  <c:v>3.5349850911451715E-2</c:v>
                </c:pt>
                <c:pt idx="8">
                  <c:v>3.5273621595414306E-2</c:v>
                </c:pt>
                <c:pt idx="9">
                  <c:v>3.5197392279376905E-2</c:v>
                </c:pt>
                <c:pt idx="10">
                  <c:v>3.3482232668535276E-2</c:v>
                </c:pt>
                <c:pt idx="11">
                  <c:v>3.0242486736945538E-2</c:v>
                </c:pt>
                <c:pt idx="12">
                  <c:v>3.0166257420908133E-2</c:v>
                </c:pt>
                <c:pt idx="13">
                  <c:v>2.8870359048272239E-2</c:v>
                </c:pt>
                <c:pt idx="14">
                  <c:v>2.8756015074216129E-2</c:v>
                </c:pt>
                <c:pt idx="15">
                  <c:v>2.8565441784122615E-2</c:v>
                </c:pt>
                <c:pt idx="16">
                  <c:v>2.7345772727524125E-2</c:v>
                </c:pt>
                <c:pt idx="17">
                  <c:v>5.8109909469570391E-3</c:v>
                </c:pt>
                <c:pt idx="18">
                  <c:v>5.1249271026203884E-3</c:v>
                </c:pt>
                <c:pt idx="19">
                  <c:v>3.905258046021899E-3</c:v>
                </c:pt>
                <c:pt idx="20">
                  <c:v>3.905258046021899E-3</c:v>
                </c:pt>
                <c:pt idx="21">
                  <c:v>9.3792244151617854E-5</c:v>
                </c:pt>
                <c:pt idx="22">
                  <c:v>9.3792244151617854E-5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427-4711-856B-B9B9A574E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200584"/>
        <c:axId val="1"/>
      </c:scatterChart>
      <c:valAx>
        <c:axId val="707200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200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419947506561673"/>
          <c:w val="0.6285714285714285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ED0FFCB-F4ED-5FB9-D09C-A2F3FD616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116.pdf" TargetMode="External"/><Relationship Id="rId2" Type="http://schemas.openxmlformats.org/officeDocument/2006/relationships/hyperlink" Target="http://var.astro.cz/oejv/issues/oejv0116.pdf" TargetMode="External"/><Relationship Id="rId1" Type="http://schemas.openxmlformats.org/officeDocument/2006/relationships/hyperlink" Target="http://www.konkoly.hu/cgi-bin/IBVS?5809" TargetMode="External"/><Relationship Id="rId5" Type="http://schemas.openxmlformats.org/officeDocument/2006/relationships/hyperlink" Target="http://var.astro.cz/oejv/issues/oejv0172.pdf" TargetMode="External"/><Relationship Id="rId4" Type="http://schemas.openxmlformats.org/officeDocument/2006/relationships/hyperlink" Target="http://var.astro.cz/oejv/issues/oejv01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ht="13.9" customHeight="1" x14ac:dyDescent="0.2">
      <c r="A2" t="s">
        <v>22</v>
      </c>
      <c r="B2" s="12" t="s">
        <v>37</v>
      </c>
      <c r="C2" s="3"/>
      <c r="D2" s="3"/>
    </row>
    <row r="3" spans="1:6" ht="13.5" thickBot="1" x14ac:dyDescent="0.25"/>
    <row r="4" spans="1:6" ht="14.25" thickTop="1" thickBot="1" x14ac:dyDescent="0.25">
      <c r="A4" s="5" t="s">
        <v>35</v>
      </c>
      <c r="C4" s="8">
        <v>52502.7</v>
      </c>
      <c r="D4" s="9">
        <v>30.186199999999999</v>
      </c>
    </row>
    <row r="5" spans="1:6" ht="13.5" thickTop="1" x14ac:dyDescent="0.2">
      <c r="A5" s="11" t="s">
        <v>27</v>
      </c>
      <c r="B5" s="12"/>
      <c r="C5" s="13">
        <v>-9.5</v>
      </c>
      <c r="D5" s="12" t="s">
        <v>28</v>
      </c>
    </row>
    <row r="6" spans="1:6" x14ac:dyDescent="0.2">
      <c r="A6" s="5" t="s">
        <v>0</v>
      </c>
    </row>
    <row r="7" spans="1:6" x14ac:dyDescent="0.2">
      <c r="A7" t="s">
        <v>1</v>
      </c>
      <c r="C7">
        <f>C4</f>
        <v>52502.7</v>
      </c>
    </row>
    <row r="8" spans="1:6" x14ac:dyDescent="0.2">
      <c r="A8" t="s">
        <v>2</v>
      </c>
      <c r="C8">
        <f>D4</f>
        <v>30.186199999999999</v>
      </c>
      <c r="D8" s="29"/>
    </row>
    <row r="9" spans="1:6" x14ac:dyDescent="0.2">
      <c r="A9" s="26" t="s">
        <v>32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6" x14ac:dyDescent="0.2">
      <c r="A11" s="12" t="s">
        <v>14</v>
      </c>
      <c r="B11" s="12"/>
      <c r="C11" s="23">
        <f ca="1">INTERCEPT(INDIRECT($D$9):G992,INDIRECT($C$9):F992)</f>
        <v>5.8109909469570391E-3</v>
      </c>
      <c r="D11" s="3"/>
      <c r="E11" s="12"/>
    </row>
    <row r="12" spans="1:6" x14ac:dyDescent="0.2">
      <c r="A12" s="12" t="s">
        <v>15</v>
      </c>
      <c r="B12" s="12"/>
      <c r="C12" s="23">
        <f ca="1">SLOPE(INDIRECT($D$9):G992,INDIRECT($C$9):F992)</f>
        <v>-3.8114658018702807E-5</v>
      </c>
      <c r="D12" s="3"/>
      <c r="E12" s="12"/>
    </row>
    <row r="13" spans="1:6" x14ac:dyDescent="0.2">
      <c r="A13" s="12" t="s">
        <v>17</v>
      </c>
      <c r="B13" s="12"/>
      <c r="C13" s="3" t="s">
        <v>12</v>
      </c>
    </row>
    <row r="14" spans="1:6" x14ac:dyDescent="0.2">
      <c r="A14" s="12"/>
      <c r="B14" s="12"/>
      <c r="C14" s="12"/>
    </row>
    <row r="15" spans="1:6" x14ac:dyDescent="0.2">
      <c r="A15" s="14" t="s">
        <v>16</v>
      </c>
      <c r="B15" s="12"/>
      <c r="C15" s="15">
        <f ca="1">(C7+C11)+(C8+C12)*INT(MAX(F21:F3533))</f>
        <v>57030.630093792235</v>
      </c>
      <c r="E15" s="16" t="s">
        <v>39</v>
      </c>
      <c r="F15" s="13">
        <v>1</v>
      </c>
    </row>
    <row r="16" spans="1:6" x14ac:dyDescent="0.2">
      <c r="A16" s="18" t="s">
        <v>3</v>
      </c>
      <c r="B16" s="12"/>
      <c r="C16" s="19">
        <f ca="1">+C8+C12</f>
        <v>30.186161885341981</v>
      </c>
      <c r="E16" s="16" t="s">
        <v>29</v>
      </c>
      <c r="F16" s="17">
        <f ca="1">NOW()+15018.5+$C$5/24</f>
        <v>60332.646154629627</v>
      </c>
    </row>
    <row r="17" spans="1:17" ht="13.5" thickBot="1" x14ac:dyDescent="0.25">
      <c r="A17" s="16" t="s">
        <v>26</v>
      </c>
      <c r="B17" s="12"/>
      <c r="C17" s="12">
        <f>COUNT(C21:C2191)</f>
        <v>23</v>
      </c>
      <c r="E17" s="16" t="s">
        <v>40</v>
      </c>
      <c r="F17" s="17">
        <f ca="1">ROUND(2*(F16-$C$7)/$C$8,0)/2+F15</f>
        <v>260.5</v>
      </c>
    </row>
    <row r="18" spans="1:17" ht="14.25" thickTop="1" thickBot="1" x14ac:dyDescent="0.25">
      <c r="A18" s="18" t="s">
        <v>4</v>
      </c>
      <c r="B18" s="12"/>
      <c r="C18" s="21">
        <f ca="1">+C15</f>
        <v>57030.630093792235</v>
      </c>
      <c r="D18" s="22">
        <f ca="1">+C16</f>
        <v>30.186161885341981</v>
      </c>
      <c r="E18" s="16" t="s">
        <v>30</v>
      </c>
      <c r="F18" s="25">
        <f ca="1">ROUND(2*(F16-$C$15)/$C$16,0)/2+F15</f>
        <v>110.5</v>
      </c>
    </row>
    <row r="19" spans="1:17" ht="13.5" thickTop="1" x14ac:dyDescent="0.2">
      <c r="E19" s="16" t="s">
        <v>31</v>
      </c>
      <c r="F19" s="20">
        <f ca="1">+$C$15+$C$16*F18-15018.5-$C$5/24</f>
        <v>45348.096815455858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49</v>
      </c>
      <c r="I20" s="7" t="s">
        <v>52</v>
      </c>
      <c r="J20" s="7" t="s">
        <v>46</v>
      </c>
      <c r="K20" s="7" t="s">
        <v>44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</row>
    <row r="21" spans="1:17" x14ac:dyDescent="0.2">
      <c r="A21" s="49" t="s">
        <v>59</v>
      </c>
      <c r="B21" s="50" t="s">
        <v>33</v>
      </c>
      <c r="C21" s="49">
        <v>27327.51</v>
      </c>
      <c r="D21" s="49" t="s">
        <v>52</v>
      </c>
      <c r="E21">
        <f t="shared" ref="E21:E43" si="0">+(C21-C$7)/C$8</f>
        <v>-833.99666072576213</v>
      </c>
      <c r="F21">
        <f t="shared" ref="F21:F43" si="1">ROUND(2*E21,0)/2</f>
        <v>-834</v>
      </c>
      <c r="G21">
        <f t="shared" ref="G21:G43" si="2">+C21-(C$7+F21*C$8)</f>
        <v>0.10080000000016298</v>
      </c>
      <c r="I21">
        <f t="shared" ref="I21:I37" si="3">+G21</f>
        <v>0.10080000000016298</v>
      </c>
      <c r="O21">
        <f t="shared" ref="O21:O43" ca="1" si="4">+C$11+C$12*$F21</f>
        <v>3.7598615734555182E-2</v>
      </c>
      <c r="Q21" s="2">
        <f t="shared" ref="Q21:Q43" si="5">+C21-15018.5</f>
        <v>12309.009999999998</v>
      </c>
    </row>
    <row r="22" spans="1:17" x14ac:dyDescent="0.2">
      <c r="A22" s="49" t="s">
        <v>59</v>
      </c>
      <c r="B22" s="50" t="s">
        <v>33</v>
      </c>
      <c r="C22" s="49">
        <v>27689.53</v>
      </c>
      <c r="D22" s="49" t="s">
        <v>52</v>
      </c>
      <c r="E22">
        <f t="shared" si="0"/>
        <v>-822.0037633090617</v>
      </c>
      <c r="F22">
        <f t="shared" si="1"/>
        <v>-822</v>
      </c>
      <c r="G22">
        <f t="shared" si="2"/>
        <v>-0.11359999999694992</v>
      </c>
      <c r="I22">
        <f t="shared" si="3"/>
        <v>-0.11359999999694992</v>
      </c>
      <c r="O22">
        <f t="shared" ca="1" si="4"/>
        <v>3.7141239838330745E-2</v>
      </c>
      <c r="Q22" s="2">
        <f t="shared" si="5"/>
        <v>12671.029999999999</v>
      </c>
    </row>
    <row r="23" spans="1:17" x14ac:dyDescent="0.2">
      <c r="A23" s="49" t="s">
        <v>67</v>
      </c>
      <c r="B23" s="50" t="s">
        <v>33</v>
      </c>
      <c r="C23" s="49">
        <v>27750.225999999999</v>
      </c>
      <c r="D23" s="49" t="s">
        <v>52</v>
      </c>
      <c r="E23">
        <f t="shared" si="0"/>
        <v>-819.99304317867097</v>
      </c>
      <c r="F23">
        <f t="shared" si="1"/>
        <v>-820</v>
      </c>
      <c r="G23">
        <f t="shared" si="2"/>
        <v>0.21000000000276486</v>
      </c>
      <c r="I23">
        <f t="shared" si="3"/>
        <v>0.21000000000276486</v>
      </c>
      <c r="O23">
        <f t="shared" ca="1" si="4"/>
        <v>3.7065010522293343E-2</v>
      </c>
      <c r="Q23" s="2">
        <f t="shared" si="5"/>
        <v>12731.725999999999</v>
      </c>
    </row>
    <row r="24" spans="1:17" x14ac:dyDescent="0.2">
      <c r="A24" s="49" t="s">
        <v>59</v>
      </c>
      <c r="B24" s="50" t="s">
        <v>33</v>
      </c>
      <c r="C24" s="49">
        <v>27871.46</v>
      </c>
      <c r="D24" s="49" t="s">
        <v>52</v>
      </c>
      <c r="E24">
        <f t="shared" si="0"/>
        <v>-815.97683709774662</v>
      </c>
      <c r="F24">
        <f t="shared" si="1"/>
        <v>-816</v>
      </c>
      <c r="G24">
        <f t="shared" si="2"/>
        <v>0.6992000000027474</v>
      </c>
      <c r="I24">
        <f t="shared" si="3"/>
        <v>0.6992000000027474</v>
      </c>
      <c r="O24">
        <f t="shared" ca="1" si="4"/>
        <v>3.6912551890218526E-2</v>
      </c>
      <c r="Q24" s="2">
        <f t="shared" si="5"/>
        <v>12852.96</v>
      </c>
    </row>
    <row r="25" spans="1:17" x14ac:dyDescent="0.2">
      <c r="A25" s="49" t="s">
        <v>75</v>
      </c>
      <c r="B25" s="50" t="s">
        <v>33</v>
      </c>
      <c r="C25" s="49">
        <v>28081.83</v>
      </c>
      <c r="D25" s="49" t="s">
        <v>52</v>
      </c>
      <c r="E25">
        <f t="shared" si="0"/>
        <v>-809.0077585121677</v>
      </c>
      <c r="F25">
        <f t="shared" si="1"/>
        <v>-809</v>
      </c>
      <c r="G25">
        <f t="shared" si="2"/>
        <v>-0.23419999999532592</v>
      </c>
      <c r="I25">
        <f t="shared" si="3"/>
        <v>-0.23419999999532592</v>
      </c>
      <c r="O25">
        <f t="shared" ca="1" si="4"/>
        <v>3.6645749284087606E-2</v>
      </c>
      <c r="Q25" s="2">
        <f t="shared" si="5"/>
        <v>13063.330000000002</v>
      </c>
    </row>
    <row r="26" spans="1:17" x14ac:dyDescent="0.2">
      <c r="A26" s="49" t="s">
        <v>67</v>
      </c>
      <c r="B26" s="50" t="s">
        <v>33</v>
      </c>
      <c r="C26" s="49">
        <v>28082.338</v>
      </c>
      <c r="D26" s="49" t="s">
        <v>52</v>
      </c>
      <c r="E26">
        <f t="shared" si="0"/>
        <v>-808.99092963009582</v>
      </c>
      <c r="F26">
        <f t="shared" si="1"/>
        <v>-809</v>
      </c>
      <c r="G26">
        <f t="shared" si="2"/>
        <v>0.27380000000266591</v>
      </c>
      <c r="I26">
        <f t="shared" si="3"/>
        <v>0.27380000000266591</v>
      </c>
      <c r="O26">
        <f t="shared" ca="1" si="4"/>
        <v>3.6645749284087606E-2</v>
      </c>
      <c r="Q26" s="2">
        <f t="shared" si="5"/>
        <v>13063.838</v>
      </c>
    </row>
    <row r="27" spans="1:17" x14ac:dyDescent="0.2">
      <c r="A27" s="49" t="s">
        <v>59</v>
      </c>
      <c r="B27" s="50" t="s">
        <v>33</v>
      </c>
      <c r="C27" s="49">
        <v>28111.360000000001</v>
      </c>
      <c r="D27" s="49" t="s">
        <v>52</v>
      </c>
      <c r="E27">
        <f t="shared" si="0"/>
        <v>-808.02949692243465</v>
      </c>
      <c r="F27">
        <f t="shared" si="1"/>
        <v>-808</v>
      </c>
      <c r="G27">
        <f t="shared" si="2"/>
        <v>-0.89039999999658903</v>
      </c>
      <c r="I27">
        <f t="shared" si="3"/>
        <v>-0.89039999999658903</v>
      </c>
      <c r="O27">
        <f t="shared" ca="1" si="4"/>
        <v>3.6607634626068905E-2</v>
      </c>
      <c r="Q27" s="2">
        <f t="shared" si="5"/>
        <v>13092.86</v>
      </c>
    </row>
    <row r="28" spans="1:17" x14ac:dyDescent="0.2">
      <c r="A28" s="49" t="s">
        <v>59</v>
      </c>
      <c r="B28" s="50" t="s">
        <v>33</v>
      </c>
      <c r="C28" s="49">
        <v>29108.21</v>
      </c>
      <c r="D28" s="49" t="s">
        <v>52</v>
      </c>
      <c r="E28">
        <f t="shared" si="0"/>
        <v>-775.00612862831349</v>
      </c>
      <c r="F28">
        <f t="shared" si="1"/>
        <v>-775</v>
      </c>
      <c r="G28">
        <f t="shared" si="2"/>
        <v>-0.18499999999767169</v>
      </c>
      <c r="I28">
        <f t="shared" si="3"/>
        <v>-0.18499999999767169</v>
      </c>
      <c r="O28">
        <f t="shared" ca="1" si="4"/>
        <v>3.5349850911451715E-2</v>
      </c>
      <c r="Q28" s="2">
        <f t="shared" si="5"/>
        <v>14089.71</v>
      </c>
    </row>
    <row r="29" spans="1:17" x14ac:dyDescent="0.2">
      <c r="A29" s="49" t="s">
        <v>59</v>
      </c>
      <c r="B29" s="50" t="s">
        <v>33</v>
      </c>
      <c r="C29" s="49">
        <v>29168.97</v>
      </c>
      <c r="D29" s="49" t="s">
        <v>52</v>
      </c>
      <c r="E29">
        <f t="shared" si="0"/>
        <v>-772.99328832380343</v>
      </c>
      <c r="F29">
        <f t="shared" si="1"/>
        <v>-773</v>
      </c>
      <c r="G29">
        <f t="shared" si="2"/>
        <v>0.20260000000416767</v>
      </c>
      <c r="I29">
        <f t="shared" si="3"/>
        <v>0.20260000000416767</v>
      </c>
      <c r="O29">
        <f t="shared" ca="1" si="4"/>
        <v>3.5273621595414306E-2</v>
      </c>
      <c r="Q29" s="2">
        <f t="shared" si="5"/>
        <v>14150.470000000001</v>
      </c>
    </row>
    <row r="30" spans="1:17" x14ac:dyDescent="0.2">
      <c r="A30" s="49" t="s">
        <v>67</v>
      </c>
      <c r="B30" s="50" t="s">
        <v>33</v>
      </c>
      <c r="C30" s="49">
        <v>29229.300999999999</v>
      </c>
      <c r="D30" s="49" t="s">
        <v>52</v>
      </c>
      <c r="E30">
        <f t="shared" si="0"/>
        <v>-770.99465981143692</v>
      </c>
      <c r="F30">
        <f t="shared" si="1"/>
        <v>-771</v>
      </c>
      <c r="G30">
        <f t="shared" si="2"/>
        <v>0.16120000000228174</v>
      </c>
      <c r="I30">
        <f t="shared" si="3"/>
        <v>0.16120000000228174</v>
      </c>
      <c r="O30">
        <f t="shared" ca="1" si="4"/>
        <v>3.5197392279376905E-2</v>
      </c>
      <c r="Q30" s="2">
        <f t="shared" si="5"/>
        <v>14210.800999999999</v>
      </c>
    </row>
    <row r="31" spans="1:17" x14ac:dyDescent="0.2">
      <c r="A31" s="49" t="s">
        <v>67</v>
      </c>
      <c r="B31" s="50" t="s">
        <v>33</v>
      </c>
      <c r="C31" s="49">
        <v>30587.419000000002</v>
      </c>
      <c r="D31" s="49" t="s">
        <v>52</v>
      </c>
      <c r="E31">
        <f t="shared" si="0"/>
        <v>-726.00330614651716</v>
      </c>
      <c r="F31">
        <f t="shared" si="1"/>
        <v>-726</v>
      </c>
      <c r="G31">
        <f t="shared" si="2"/>
        <v>-9.9799999996321276E-2</v>
      </c>
      <c r="I31">
        <f t="shared" si="3"/>
        <v>-9.9799999996321276E-2</v>
      </c>
      <c r="O31">
        <f t="shared" ca="1" si="4"/>
        <v>3.3482232668535276E-2</v>
      </c>
      <c r="Q31" s="2">
        <f t="shared" si="5"/>
        <v>15568.919000000002</v>
      </c>
    </row>
    <row r="32" spans="1:17" x14ac:dyDescent="0.2">
      <c r="A32" s="49" t="s">
        <v>67</v>
      </c>
      <c r="B32" s="50" t="s">
        <v>33</v>
      </c>
      <c r="C32" s="49">
        <v>33153.449999999997</v>
      </c>
      <c r="D32" s="49" t="s">
        <v>52</v>
      </c>
      <c r="E32">
        <f t="shared" si="0"/>
        <v>-640.99654809151207</v>
      </c>
      <c r="F32">
        <f t="shared" si="1"/>
        <v>-641</v>
      </c>
      <c r="G32">
        <f t="shared" si="2"/>
        <v>0.10420000000158325</v>
      </c>
      <c r="I32">
        <f t="shared" si="3"/>
        <v>0.10420000000158325</v>
      </c>
      <c r="O32">
        <f t="shared" ca="1" si="4"/>
        <v>3.0242486736945538E-2</v>
      </c>
      <c r="Q32" s="2">
        <f t="shared" si="5"/>
        <v>18134.949999999997</v>
      </c>
    </row>
    <row r="33" spans="1:17" x14ac:dyDescent="0.2">
      <c r="A33" s="49" t="s">
        <v>67</v>
      </c>
      <c r="B33" s="50" t="s">
        <v>33</v>
      </c>
      <c r="C33" s="49">
        <v>33214.248</v>
      </c>
      <c r="D33" s="49" t="s">
        <v>52</v>
      </c>
      <c r="E33">
        <f t="shared" si="0"/>
        <v>-638.98244893361857</v>
      </c>
      <c r="F33">
        <f t="shared" si="1"/>
        <v>-639</v>
      </c>
      <c r="G33">
        <f t="shared" si="2"/>
        <v>0.52980000000388827</v>
      </c>
      <c r="I33">
        <f t="shared" si="3"/>
        <v>0.52980000000388827</v>
      </c>
      <c r="O33">
        <f t="shared" ca="1" si="4"/>
        <v>3.0166257420908133E-2</v>
      </c>
      <c r="Q33" s="2">
        <f t="shared" si="5"/>
        <v>18195.748</v>
      </c>
    </row>
    <row r="34" spans="1:17" x14ac:dyDescent="0.2">
      <c r="A34" s="49" t="s">
        <v>67</v>
      </c>
      <c r="B34" s="50" t="s">
        <v>33</v>
      </c>
      <c r="C34" s="49">
        <v>34240.334000000003</v>
      </c>
      <c r="D34" s="49" t="s">
        <v>52</v>
      </c>
      <c r="E34">
        <f t="shared" si="0"/>
        <v>-604.99055859962482</v>
      </c>
      <c r="F34">
        <f t="shared" si="1"/>
        <v>-605</v>
      </c>
      <c r="G34">
        <f t="shared" si="2"/>
        <v>0.28500000000349246</v>
      </c>
      <c r="I34">
        <f t="shared" si="3"/>
        <v>0.28500000000349246</v>
      </c>
      <c r="O34">
        <f t="shared" ca="1" si="4"/>
        <v>2.8870359048272239E-2</v>
      </c>
      <c r="Q34" s="2">
        <f t="shared" si="5"/>
        <v>19221.834000000003</v>
      </c>
    </row>
    <row r="35" spans="1:17" x14ac:dyDescent="0.2">
      <c r="A35" s="49" t="s">
        <v>67</v>
      </c>
      <c r="B35" s="50" t="s">
        <v>33</v>
      </c>
      <c r="C35" s="49">
        <v>34330.483</v>
      </c>
      <c r="D35" s="49" t="s">
        <v>52</v>
      </c>
      <c r="E35">
        <f t="shared" si="0"/>
        <v>-602.0041277139884</v>
      </c>
      <c r="F35">
        <f t="shared" si="1"/>
        <v>-602</v>
      </c>
      <c r="G35">
        <f t="shared" si="2"/>
        <v>-0.12459999999555293</v>
      </c>
      <c r="I35">
        <f t="shared" si="3"/>
        <v>-0.12459999999555293</v>
      </c>
      <c r="O35">
        <f t="shared" ca="1" si="4"/>
        <v>2.8756015074216129E-2</v>
      </c>
      <c r="Q35" s="2">
        <f t="shared" si="5"/>
        <v>19311.983</v>
      </c>
    </row>
    <row r="36" spans="1:17" x14ac:dyDescent="0.2">
      <c r="A36" s="49" t="s">
        <v>111</v>
      </c>
      <c r="B36" s="50" t="s">
        <v>33</v>
      </c>
      <c r="C36" s="49">
        <v>34481.519999999997</v>
      </c>
      <c r="D36" s="49" t="s">
        <v>52</v>
      </c>
      <c r="E36">
        <f t="shared" si="0"/>
        <v>-597.00061617560345</v>
      </c>
      <c r="F36">
        <f t="shared" si="1"/>
        <v>-597</v>
      </c>
      <c r="G36">
        <f t="shared" si="2"/>
        <v>-1.8600000003061723E-2</v>
      </c>
      <c r="I36">
        <f t="shared" si="3"/>
        <v>-1.8600000003061723E-2</v>
      </c>
      <c r="O36">
        <f t="shared" ca="1" si="4"/>
        <v>2.8565441784122615E-2</v>
      </c>
      <c r="Q36" s="2">
        <f t="shared" si="5"/>
        <v>19463.019999999997</v>
      </c>
    </row>
    <row r="37" spans="1:17" x14ac:dyDescent="0.2">
      <c r="A37" s="49" t="s">
        <v>67</v>
      </c>
      <c r="B37" s="50" t="s">
        <v>33</v>
      </c>
      <c r="C37" s="49">
        <v>35447.184000000001</v>
      </c>
      <c r="D37" s="49" t="s">
        <v>52</v>
      </c>
      <c r="E37">
        <f t="shared" si="0"/>
        <v>-565.01036897655206</v>
      </c>
      <c r="F37">
        <f t="shared" si="1"/>
        <v>-565</v>
      </c>
      <c r="G37">
        <f t="shared" si="2"/>
        <v>-0.3129999999946449</v>
      </c>
      <c r="I37">
        <f t="shared" si="3"/>
        <v>-0.3129999999946449</v>
      </c>
      <c r="O37">
        <f t="shared" ca="1" si="4"/>
        <v>2.7345772727524125E-2</v>
      </c>
      <c r="Q37" s="2">
        <f t="shared" si="5"/>
        <v>20428.684000000001</v>
      </c>
    </row>
    <row r="38" spans="1:17" x14ac:dyDescent="0.2">
      <c r="A38" s="31" t="s">
        <v>34</v>
      </c>
      <c r="B38" s="30" t="s">
        <v>33</v>
      </c>
      <c r="C38" s="31">
        <v>52502.7</v>
      </c>
      <c r="D38" s="28"/>
      <c r="E38">
        <f t="shared" si="0"/>
        <v>0</v>
      </c>
      <c r="F38">
        <f t="shared" si="1"/>
        <v>0</v>
      </c>
      <c r="G38">
        <f t="shared" si="2"/>
        <v>0</v>
      </c>
      <c r="H38">
        <f>+G38</f>
        <v>0</v>
      </c>
      <c r="O38">
        <f t="shared" ca="1" si="4"/>
        <v>5.8109909469570391E-3</v>
      </c>
      <c r="Q38" s="2">
        <f t="shared" si="5"/>
        <v>37484.199999999997</v>
      </c>
    </row>
    <row r="39" spans="1:17" s="52" customFormat="1" x14ac:dyDescent="0.2">
      <c r="A39" s="51" t="s">
        <v>38</v>
      </c>
      <c r="B39" s="32"/>
      <c r="C39" s="51">
        <v>53046.07</v>
      </c>
      <c r="D39" s="51">
        <v>0.01</v>
      </c>
      <c r="E39" s="52">
        <f t="shared" si="0"/>
        <v>18.000609550059387</v>
      </c>
      <c r="F39" s="52">
        <f t="shared" si="1"/>
        <v>18</v>
      </c>
      <c r="G39" s="52">
        <f t="shared" si="2"/>
        <v>1.840000000083819E-2</v>
      </c>
      <c r="I39" s="52">
        <f>+G39</f>
        <v>1.840000000083819E-2</v>
      </c>
      <c r="O39" s="52">
        <f t="shared" ca="1" si="4"/>
        <v>5.1249271026203884E-3</v>
      </c>
      <c r="Q39" s="53">
        <f t="shared" si="5"/>
        <v>38027.57</v>
      </c>
    </row>
    <row r="40" spans="1:17" x14ac:dyDescent="0.2">
      <c r="A40" s="49" t="s">
        <v>138</v>
      </c>
      <c r="B40" s="50" t="s">
        <v>33</v>
      </c>
      <c r="C40" s="49">
        <v>54011.983999999997</v>
      </c>
      <c r="D40" s="49" t="s">
        <v>52</v>
      </c>
      <c r="E40">
        <f t="shared" si="0"/>
        <v>49.999138679264021</v>
      </c>
      <c r="F40">
        <f t="shared" si="1"/>
        <v>50</v>
      </c>
      <c r="G40">
        <f t="shared" si="2"/>
        <v>-2.599999999802094E-2</v>
      </c>
      <c r="I40">
        <f>+G40</f>
        <v>-2.599999999802094E-2</v>
      </c>
      <c r="O40">
        <f t="shared" ca="1" si="4"/>
        <v>3.905258046021899E-3</v>
      </c>
      <c r="Q40" s="2">
        <f t="shared" si="5"/>
        <v>38993.483999999997</v>
      </c>
    </row>
    <row r="41" spans="1:17" x14ac:dyDescent="0.2">
      <c r="A41" s="49" t="s">
        <v>138</v>
      </c>
      <c r="B41" s="50" t="s">
        <v>33</v>
      </c>
      <c r="C41" s="49">
        <v>54011.985999999997</v>
      </c>
      <c r="D41" s="49" t="s">
        <v>52</v>
      </c>
      <c r="E41">
        <f t="shared" si="0"/>
        <v>49.999204934705268</v>
      </c>
      <c r="F41">
        <f t="shared" si="1"/>
        <v>50</v>
      </c>
      <c r="G41">
        <f t="shared" si="2"/>
        <v>-2.3999999997613486E-2</v>
      </c>
      <c r="I41">
        <f>+G41</f>
        <v>-2.3999999997613486E-2</v>
      </c>
      <c r="O41">
        <f t="shared" ca="1" si="4"/>
        <v>3.905258046021899E-3</v>
      </c>
      <c r="Q41" s="2">
        <f t="shared" si="5"/>
        <v>38993.485999999997</v>
      </c>
    </row>
    <row r="42" spans="1:17" x14ac:dyDescent="0.2">
      <c r="A42" s="33" t="s">
        <v>41</v>
      </c>
      <c r="B42" s="34" t="s">
        <v>33</v>
      </c>
      <c r="C42" s="35">
        <v>57030.644</v>
      </c>
      <c r="D42" s="35">
        <v>0.04</v>
      </c>
      <c r="E42">
        <f t="shared" si="0"/>
        <v>150.00046378808869</v>
      </c>
      <c r="F42">
        <f t="shared" si="1"/>
        <v>150</v>
      </c>
      <c r="G42">
        <f t="shared" si="2"/>
        <v>1.4000000002852175E-2</v>
      </c>
      <c r="I42">
        <f>+G42</f>
        <v>1.4000000002852175E-2</v>
      </c>
      <c r="O42">
        <f t="shared" ca="1" si="4"/>
        <v>9.3792244151617854E-5</v>
      </c>
      <c r="Q42" s="2">
        <f t="shared" si="5"/>
        <v>42012.144</v>
      </c>
    </row>
    <row r="43" spans="1:17" x14ac:dyDescent="0.2">
      <c r="A43" s="33" t="s">
        <v>41</v>
      </c>
      <c r="B43" s="34" t="s">
        <v>33</v>
      </c>
      <c r="C43" s="35">
        <v>57030.650999999998</v>
      </c>
      <c r="D43" s="35">
        <v>0.04</v>
      </c>
      <c r="E43">
        <f t="shared" si="0"/>
        <v>150.00069568213294</v>
      </c>
      <c r="F43">
        <f t="shared" si="1"/>
        <v>150</v>
      </c>
      <c r="G43">
        <f t="shared" si="2"/>
        <v>2.1000000000640284E-2</v>
      </c>
      <c r="I43">
        <f>+G43</f>
        <v>2.1000000000640284E-2</v>
      </c>
      <c r="O43">
        <f t="shared" ca="1" si="4"/>
        <v>9.3792244151617854E-5</v>
      </c>
      <c r="Q43" s="2">
        <f t="shared" si="5"/>
        <v>42012.150999999998</v>
      </c>
    </row>
    <row r="44" spans="1:17" x14ac:dyDescent="0.2">
      <c r="B44" s="3"/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7"/>
  <sheetViews>
    <sheetView topLeftCell="A9" workbookViewId="0">
      <selection activeCell="A14" sqref="A14:D32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6" t="s">
        <v>42</v>
      </c>
      <c r="I1" s="37" t="s">
        <v>43</v>
      </c>
      <c r="J1" s="38" t="s">
        <v>44</v>
      </c>
    </row>
    <row r="2" spans="1:16" x14ac:dyDescent="0.2">
      <c r="I2" s="39" t="s">
        <v>45</v>
      </c>
      <c r="J2" s="40" t="s">
        <v>46</v>
      </c>
    </row>
    <row r="3" spans="1:16" x14ac:dyDescent="0.2">
      <c r="A3" s="41" t="s">
        <v>47</v>
      </c>
      <c r="I3" s="39" t="s">
        <v>48</v>
      </c>
      <c r="J3" s="40" t="s">
        <v>49</v>
      </c>
    </row>
    <row r="4" spans="1:16" x14ac:dyDescent="0.2">
      <c r="I4" s="39" t="s">
        <v>50</v>
      </c>
      <c r="J4" s="40" t="s">
        <v>49</v>
      </c>
    </row>
    <row r="5" spans="1:16" ht="13.5" thickBot="1" x14ac:dyDescent="0.25">
      <c r="I5" s="42" t="s">
        <v>51</v>
      </c>
      <c r="J5" s="43" t="s">
        <v>52</v>
      </c>
    </row>
    <row r="10" spans="1:16" ht="13.5" thickBot="1" x14ac:dyDescent="0.25"/>
    <row r="11" spans="1:16" ht="12.75" customHeight="1" thickBot="1" x14ac:dyDescent="0.25">
      <c r="A11" s="10" t="str">
        <f t="shared" ref="A11:A32" si="0">P11</f>
        <v>IBVS 5809 </v>
      </c>
      <c r="B11" s="3" t="str">
        <f t="shared" ref="B11:B32" si="1">IF(H11=INT(H11),"I","II")</f>
        <v>I</v>
      </c>
      <c r="C11" s="10">
        <f t="shared" ref="C11:C32" si="2">1*G11</f>
        <v>53046.07</v>
      </c>
      <c r="D11" s="12" t="str">
        <f t="shared" ref="D11:D32" si="3">VLOOKUP(F11,I$1:J$5,2,FALSE)</f>
        <v>vis</v>
      </c>
      <c r="E11" s="44">
        <f>VLOOKUP(C11,A!C$21:E$973,3,FALSE)</f>
        <v>18.000609550059387</v>
      </c>
      <c r="F11" s="3" t="s">
        <v>51</v>
      </c>
      <c r="G11" s="12" t="str">
        <f t="shared" ref="G11:G32" si="4">MID(I11,3,LEN(I11)-3)</f>
        <v>53046.07</v>
      </c>
      <c r="H11" s="10">
        <f t="shared" ref="H11:H32" si="5">1*K11</f>
        <v>852</v>
      </c>
      <c r="I11" s="45" t="s">
        <v>115</v>
      </c>
      <c r="J11" s="46" t="s">
        <v>116</v>
      </c>
      <c r="K11" s="45">
        <v>852</v>
      </c>
      <c r="L11" s="45" t="s">
        <v>117</v>
      </c>
      <c r="M11" s="46" t="s">
        <v>118</v>
      </c>
      <c r="N11" s="46" t="s">
        <v>51</v>
      </c>
      <c r="O11" s="47" t="s">
        <v>119</v>
      </c>
      <c r="P11" s="48" t="s">
        <v>120</v>
      </c>
    </row>
    <row r="12" spans="1:16" ht="12.75" customHeight="1" thickBot="1" x14ac:dyDescent="0.25">
      <c r="A12" s="10" t="str">
        <f t="shared" si="0"/>
        <v>OEJV 0172 </v>
      </c>
      <c r="B12" s="3" t="str">
        <f t="shared" si="1"/>
        <v>I</v>
      </c>
      <c r="C12" s="10">
        <f t="shared" si="2"/>
        <v>57030.644</v>
      </c>
      <c r="D12" s="12" t="str">
        <f t="shared" si="3"/>
        <v>vis</v>
      </c>
      <c r="E12" s="44">
        <f>VLOOKUP(C12,A!C$21:E$973,3,FALSE)</f>
        <v>150.00046378808869</v>
      </c>
      <c r="F12" s="3" t="s">
        <v>51</v>
      </c>
      <c r="G12" s="12" t="str">
        <f t="shared" si="4"/>
        <v>57030.644</v>
      </c>
      <c r="H12" s="10">
        <f t="shared" si="5"/>
        <v>984</v>
      </c>
      <c r="I12" s="45" t="s">
        <v>131</v>
      </c>
      <c r="J12" s="46" t="s">
        <v>132</v>
      </c>
      <c r="K12" s="45">
        <v>984</v>
      </c>
      <c r="L12" s="45" t="s">
        <v>133</v>
      </c>
      <c r="M12" s="46" t="s">
        <v>118</v>
      </c>
      <c r="N12" s="46" t="s">
        <v>51</v>
      </c>
      <c r="O12" s="47" t="s">
        <v>125</v>
      </c>
      <c r="P12" s="48" t="s">
        <v>134</v>
      </c>
    </row>
    <row r="13" spans="1:16" ht="12.75" customHeight="1" thickBot="1" x14ac:dyDescent="0.25">
      <c r="A13" s="10" t="str">
        <f t="shared" si="0"/>
        <v>OEJV 0172 </v>
      </c>
      <c r="B13" s="3" t="str">
        <f t="shared" si="1"/>
        <v>I</v>
      </c>
      <c r="C13" s="10">
        <f t="shared" si="2"/>
        <v>57030.650999999998</v>
      </c>
      <c r="D13" s="12" t="str">
        <f t="shared" si="3"/>
        <v>vis</v>
      </c>
      <c r="E13" s="44">
        <f>VLOOKUP(C13,A!C$21:E$973,3,FALSE)</f>
        <v>150.00069568213294</v>
      </c>
      <c r="F13" s="3" t="s">
        <v>51</v>
      </c>
      <c r="G13" s="12" t="str">
        <f t="shared" si="4"/>
        <v>57030.651</v>
      </c>
      <c r="H13" s="10">
        <f t="shared" si="5"/>
        <v>984</v>
      </c>
      <c r="I13" s="45" t="s">
        <v>135</v>
      </c>
      <c r="J13" s="46" t="s">
        <v>136</v>
      </c>
      <c r="K13" s="45">
        <v>984</v>
      </c>
      <c r="L13" s="45" t="s">
        <v>137</v>
      </c>
      <c r="M13" s="46" t="s">
        <v>118</v>
      </c>
      <c r="N13" s="46" t="s">
        <v>33</v>
      </c>
      <c r="O13" s="47" t="s">
        <v>125</v>
      </c>
      <c r="P13" s="48" t="s">
        <v>134</v>
      </c>
    </row>
    <row r="14" spans="1:16" ht="12.75" customHeight="1" thickBot="1" x14ac:dyDescent="0.25">
      <c r="A14" s="10" t="str">
        <f t="shared" si="0"/>
        <v> KVBB 24.115 </v>
      </c>
      <c r="B14" s="3" t="str">
        <f t="shared" si="1"/>
        <v>I</v>
      </c>
      <c r="C14" s="10">
        <f t="shared" si="2"/>
        <v>27327.51</v>
      </c>
      <c r="D14" s="12" t="str">
        <f t="shared" si="3"/>
        <v>vis</v>
      </c>
      <c r="E14" s="44">
        <f>VLOOKUP(C14,A!C$21:E$973,3,FALSE)</f>
        <v>-833.99666072576213</v>
      </c>
      <c r="F14" s="3" t="s">
        <v>51</v>
      </c>
      <c r="G14" s="12" t="str">
        <f t="shared" si="4"/>
        <v>27327.51</v>
      </c>
      <c r="H14" s="10">
        <f t="shared" si="5"/>
        <v>0</v>
      </c>
      <c r="I14" s="45" t="s">
        <v>54</v>
      </c>
      <c r="J14" s="46" t="s">
        <v>55</v>
      </c>
      <c r="K14" s="45">
        <v>0</v>
      </c>
      <c r="L14" s="45" t="s">
        <v>56</v>
      </c>
      <c r="M14" s="46" t="s">
        <v>57</v>
      </c>
      <c r="N14" s="46"/>
      <c r="O14" s="47" t="s">
        <v>58</v>
      </c>
      <c r="P14" s="47" t="s">
        <v>59</v>
      </c>
    </row>
    <row r="15" spans="1:16" ht="12.75" customHeight="1" thickBot="1" x14ac:dyDescent="0.25">
      <c r="A15" s="10" t="str">
        <f t="shared" si="0"/>
        <v> KVBB 24.115 </v>
      </c>
      <c r="B15" s="3" t="str">
        <f t="shared" si="1"/>
        <v>I</v>
      </c>
      <c r="C15" s="10">
        <f t="shared" si="2"/>
        <v>27689.53</v>
      </c>
      <c r="D15" s="12" t="str">
        <f t="shared" si="3"/>
        <v>vis</v>
      </c>
      <c r="E15" s="44">
        <f>VLOOKUP(C15,A!C$21:E$973,3,FALSE)</f>
        <v>-822.0037633090617</v>
      </c>
      <c r="F15" s="3" t="s">
        <v>51</v>
      </c>
      <c r="G15" s="12" t="str">
        <f t="shared" si="4"/>
        <v>27689.53</v>
      </c>
      <c r="H15" s="10">
        <f t="shared" si="5"/>
        <v>12</v>
      </c>
      <c r="I15" s="45" t="s">
        <v>60</v>
      </c>
      <c r="J15" s="46" t="s">
        <v>61</v>
      </c>
      <c r="K15" s="45">
        <v>12</v>
      </c>
      <c r="L15" s="45" t="s">
        <v>62</v>
      </c>
      <c r="M15" s="46" t="s">
        <v>57</v>
      </c>
      <c r="N15" s="46"/>
      <c r="O15" s="47" t="s">
        <v>58</v>
      </c>
      <c r="P15" s="47" t="s">
        <v>59</v>
      </c>
    </row>
    <row r="16" spans="1:16" ht="12.75" customHeight="1" thickBot="1" x14ac:dyDescent="0.25">
      <c r="A16" s="10" t="str">
        <f t="shared" si="0"/>
        <v> AC 205.24 </v>
      </c>
      <c r="B16" s="3" t="str">
        <f t="shared" si="1"/>
        <v>I</v>
      </c>
      <c r="C16" s="10">
        <f t="shared" si="2"/>
        <v>27750.225999999999</v>
      </c>
      <c r="D16" s="12" t="str">
        <f t="shared" si="3"/>
        <v>vis</v>
      </c>
      <c r="E16" s="44">
        <f>VLOOKUP(C16,A!C$21:E$973,3,FALSE)</f>
        <v>-819.99304317867097</v>
      </c>
      <c r="F16" s="3" t="s">
        <v>51</v>
      </c>
      <c r="G16" s="12" t="str">
        <f t="shared" si="4"/>
        <v>27750.226</v>
      </c>
      <c r="H16" s="10">
        <f t="shared" si="5"/>
        <v>14</v>
      </c>
      <c r="I16" s="45" t="s">
        <v>63</v>
      </c>
      <c r="J16" s="46" t="s">
        <v>64</v>
      </c>
      <c r="K16" s="45">
        <v>14</v>
      </c>
      <c r="L16" s="45" t="s">
        <v>65</v>
      </c>
      <c r="M16" s="46" t="s">
        <v>57</v>
      </c>
      <c r="N16" s="46"/>
      <c r="O16" s="47" t="s">
        <v>66</v>
      </c>
      <c r="P16" s="47" t="s">
        <v>67</v>
      </c>
    </row>
    <row r="17" spans="1:16" ht="12.75" customHeight="1" thickBot="1" x14ac:dyDescent="0.25">
      <c r="A17" s="10" t="str">
        <f t="shared" si="0"/>
        <v> KVBB 24.115 </v>
      </c>
      <c r="B17" s="3" t="str">
        <f t="shared" si="1"/>
        <v>I</v>
      </c>
      <c r="C17" s="10">
        <f t="shared" si="2"/>
        <v>27871.46</v>
      </c>
      <c r="D17" s="12" t="str">
        <f t="shared" si="3"/>
        <v>vis</v>
      </c>
      <c r="E17" s="44">
        <f>VLOOKUP(C17,A!C$21:E$973,3,FALSE)</f>
        <v>-815.97683709774662</v>
      </c>
      <c r="F17" s="3" t="s">
        <v>51</v>
      </c>
      <c r="G17" s="12" t="str">
        <f t="shared" si="4"/>
        <v>27871.46</v>
      </c>
      <c r="H17" s="10">
        <f t="shared" si="5"/>
        <v>18</v>
      </c>
      <c r="I17" s="45" t="s">
        <v>68</v>
      </c>
      <c r="J17" s="46" t="s">
        <v>69</v>
      </c>
      <c r="K17" s="45">
        <v>18</v>
      </c>
      <c r="L17" s="45" t="s">
        <v>70</v>
      </c>
      <c r="M17" s="46" t="s">
        <v>57</v>
      </c>
      <c r="N17" s="46"/>
      <c r="O17" s="47" t="s">
        <v>58</v>
      </c>
      <c r="P17" s="47" t="s">
        <v>59</v>
      </c>
    </row>
    <row r="18" spans="1:16" ht="12.75" customHeight="1" thickBot="1" x14ac:dyDescent="0.25">
      <c r="A18" s="10" t="str">
        <f t="shared" si="0"/>
        <v> BSAO 18.29 </v>
      </c>
      <c r="B18" s="3" t="str">
        <f t="shared" si="1"/>
        <v>I</v>
      </c>
      <c r="C18" s="10">
        <f t="shared" si="2"/>
        <v>28081.83</v>
      </c>
      <c r="D18" s="12" t="str">
        <f t="shared" si="3"/>
        <v>vis</v>
      </c>
      <c r="E18" s="44">
        <f>VLOOKUP(C18,A!C$21:E$973,3,FALSE)</f>
        <v>-809.0077585121677</v>
      </c>
      <c r="F18" s="3" t="s">
        <v>51</v>
      </c>
      <c r="G18" s="12" t="str">
        <f t="shared" si="4"/>
        <v>28081.83</v>
      </c>
      <c r="H18" s="10">
        <f t="shared" si="5"/>
        <v>25</v>
      </c>
      <c r="I18" s="45" t="s">
        <v>71</v>
      </c>
      <c r="J18" s="46" t="s">
        <v>72</v>
      </c>
      <c r="K18" s="45">
        <v>25</v>
      </c>
      <c r="L18" s="45" t="s">
        <v>73</v>
      </c>
      <c r="M18" s="46" t="s">
        <v>53</v>
      </c>
      <c r="N18" s="46"/>
      <c r="O18" s="47" t="s">
        <v>74</v>
      </c>
      <c r="P18" s="47" t="s">
        <v>75</v>
      </c>
    </row>
    <row r="19" spans="1:16" ht="12.75" customHeight="1" thickBot="1" x14ac:dyDescent="0.25">
      <c r="A19" s="10" t="str">
        <f t="shared" si="0"/>
        <v> AC 205.24 </v>
      </c>
      <c r="B19" s="3" t="str">
        <f t="shared" si="1"/>
        <v>I</v>
      </c>
      <c r="C19" s="10">
        <f t="shared" si="2"/>
        <v>28082.338</v>
      </c>
      <c r="D19" s="12" t="str">
        <f t="shared" si="3"/>
        <v>vis</v>
      </c>
      <c r="E19" s="44">
        <f>VLOOKUP(C19,A!C$21:E$973,3,FALSE)</f>
        <v>-808.99092963009582</v>
      </c>
      <c r="F19" s="3" t="s">
        <v>51</v>
      </c>
      <c r="G19" s="12" t="str">
        <f t="shared" si="4"/>
        <v>28082.338</v>
      </c>
      <c r="H19" s="10">
        <f t="shared" si="5"/>
        <v>25</v>
      </c>
      <c r="I19" s="45" t="s">
        <v>76</v>
      </c>
      <c r="J19" s="46" t="s">
        <v>77</v>
      </c>
      <c r="K19" s="45">
        <v>25</v>
      </c>
      <c r="L19" s="45" t="s">
        <v>78</v>
      </c>
      <c r="M19" s="46" t="s">
        <v>57</v>
      </c>
      <c r="N19" s="46"/>
      <c r="O19" s="47" t="s">
        <v>66</v>
      </c>
      <c r="P19" s="47" t="s">
        <v>67</v>
      </c>
    </row>
    <row r="20" spans="1:16" ht="12.75" customHeight="1" thickBot="1" x14ac:dyDescent="0.25">
      <c r="A20" s="10" t="str">
        <f t="shared" si="0"/>
        <v> KVBB 24.115 </v>
      </c>
      <c r="B20" s="3" t="str">
        <f t="shared" si="1"/>
        <v>I</v>
      </c>
      <c r="C20" s="10">
        <f t="shared" si="2"/>
        <v>28111.360000000001</v>
      </c>
      <c r="D20" s="12" t="str">
        <f t="shared" si="3"/>
        <v>vis</v>
      </c>
      <c r="E20" s="44">
        <f>VLOOKUP(C20,A!C$21:E$973,3,FALSE)</f>
        <v>-808.02949692243465</v>
      </c>
      <c r="F20" s="3" t="s">
        <v>51</v>
      </c>
      <c r="G20" s="12" t="str">
        <f t="shared" si="4"/>
        <v>28111.36</v>
      </c>
      <c r="H20" s="10">
        <f t="shared" si="5"/>
        <v>26</v>
      </c>
      <c r="I20" s="45" t="s">
        <v>79</v>
      </c>
      <c r="J20" s="46" t="s">
        <v>80</v>
      </c>
      <c r="K20" s="45">
        <v>26</v>
      </c>
      <c r="L20" s="45" t="s">
        <v>81</v>
      </c>
      <c r="M20" s="46" t="s">
        <v>57</v>
      </c>
      <c r="N20" s="46"/>
      <c r="O20" s="47" t="s">
        <v>58</v>
      </c>
      <c r="P20" s="47" t="s">
        <v>59</v>
      </c>
    </row>
    <row r="21" spans="1:16" ht="12.75" customHeight="1" thickBot="1" x14ac:dyDescent="0.25">
      <c r="A21" s="10" t="str">
        <f t="shared" si="0"/>
        <v> KVBB 24.115 </v>
      </c>
      <c r="B21" s="3" t="str">
        <f t="shared" si="1"/>
        <v>I</v>
      </c>
      <c r="C21" s="10">
        <f t="shared" si="2"/>
        <v>29108.21</v>
      </c>
      <c r="D21" s="12" t="str">
        <f t="shared" si="3"/>
        <v>vis</v>
      </c>
      <c r="E21" s="44">
        <f>VLOOKUP(C21,A!C$21:E$973,3,FALSE)</f>
        <v>-775.00612862831349</v>
      </c>
      <c r="F21" s="3" t="s">
        <v>51</v>
      </c>
      <c r="G21" s="12" t="str">
        <f t="shared" si="4"/>
        <v>29108.21</v>
      </c>
      <c r="H21" s="10">
        <f t="shared" si="5"/>
        <v>59</v>
      </c>
      <c r="I21" s="45" t="s">
        <v>82</v>
      </c>
      <c r="J21" s="46" t="s">
        <v>83</v>
      </c>
      <c r="K21" s="45">
        <v>59</v>
      </c>
      <c r="L21" s="45" t="s">
        <v>84</v>
      </c>
      <c r="M21" s="46" t="s">
        <v>85</v>
      </c>
      <c r="N21" s="46"/>
      <c r="O21" s="47" t="s">
        <v>58</v>
      </c>
      <c r="P21" s="47" t="s">
        <v>59</v>
      </c>
    </row>
    <row r="22" spans="1:16" ht="12.75" customHeight="1" thickBot="1" x14ac:dyDescent="0.25">
      <c r="A22" s="10" t="str">
        <f t="shared" si="0"/>
        <v> KVBB 24.115 </v>
      </c>
      <c r="B22" s="3" t="str">
        <f t="shared" si="1"/>
        <v>I</v>
      </c>
      <c r="C22" s="10">
        <f t="shared" si="2"/>
        <v>29168.97</v>
      </c>
      <c r="D22" s="12" t="str">
        <f t="shared" si="3"/>
        <v>vis</v>
      </c>
      <c r="E22" s="44">
        <f>VLOOKUP(C22,A!C$21:E$973,3,FALSE)</f>
        <v>-772.99328832380343</v>
      </c>
      <c r="F22" s="3" t="s">
        <v>51</v>
      </c>
      <c r="G22" s="12" t="str">
        <f t="shared" si="4"/>
        <v>29168.97</v>
      </c>
      <c r="H22" s="10">
        <f t="shared" si="5"/>
        <v>61</v>
      </c>
      <c r="I22" s="45" t="s">
        <v>86</v>
      </c>
      <c r="J22" s="46" t="s">
        <v>87</v>
      </c>
      <c r="K22" s="45">
        <v>61</v>
      </c>
      <c r="L22" s="45" t="s">
        <v>88</v>
      </c>
      <c r="M22" s="46" t="s">
        <v>85</v>
      </c>
      <c r="N22" s="46"/>
      <c r="O22" s="47" t="s">
        <v>58</v>
      </c>
      <c r="P22" s="47" t="s">
        <v>59</v>
      </c>
    </row>
    <row r="23" spans="1:16" ht="12.75" customHeight="1" thickBot="1" x14ac:dyDescent="0.25">
      <c r="A23" s="10" t="str">
        <f t="shared" si="0"/>
        <v> AC 205.24 </v>
      </c>
      <c r="B23" s="3" t="str">
        <f t="shared" si="1"/>
        <v>I</v>
      </c>
      <c r="C23" s="10">
        <f t="shared" si="2"/>
        <v>29229.300999999999</v>
      </c>
      <c r="D23" s="12" t="str">
        <f t="shared" si="3"/>
        <v>vis</v>
      </c>
      <c r="E23" s="44">
        <f>VLOOKUP(C23,A!C$21:E$973,3,FALSE)</f>
        <v>-770.99465981143692</v>
      </c>
      <c r="F23" s="3" t="s">
        <v>51</v>
      </c>
      <c r="G23" s="12" t="str">
        <f t="shared" si="4"/>
        <v>29229.301</v>
      </c>
      <c r="H23" s="10">
        <f t="shared" si="5"/>
        <v>63</v>
      </c>
      <c r="I23" s="45" t="s">
        <v>89</v>
      </c>
      <c r="J23" s="46" t="s">
        <v>90</v>
      </c>
      <c r="K23" s="45">
        <v>63</v>
      </c>
      <c r="L23" s="45" t="s">
        <v>91</v>
      </c>
      <c r="M23" s="46" t="s">
        <v>57</v>
      </c>
      <c r="N23" s="46"/>
      <c r="O23" s="47" t="s">
        <v>66</v>
      </c>
      <c r="P23" s="47" t="s">
        <v>67</v>
      </c>
    </row>
    <row r="24" spans="1:16" ht="12.75" customHeight="1" thickBot="1" x14ac:dyDescent="0.25">
      <c r="A24" s="10" t="str">
        <f t="shared" si="0"/>
        <v> AC 205.24 </v>
      </c>
      <c r="B24" s="3" t="str">
        <f t="shared" si="1"/>
        <v>I</v>
      </c>
      <c r="C24" s="10">
        <f t="shared" si="2"/>
        <v>30587.419000000002</v>
      </c>
      <c r="D24" s="12" t="str">
        <f t="shared" si="3"/>
        <v>vis</v>
      </c>
      <c r="E24" s="44">
        <f>VLOOKUP(C24,A!C$21:E$973,3,FALSE)</f>
        <v>-726.00330614651716</v>
      </c>
      <c r="F24" s="3" t="s">
        <v>51</v>
      </c>
      <c r="G24" s="12" t="str">
        <f t="shared" si="4"/>
        <v>30587.419</v>
      </c>
      <c r="H24" s="10">
        <f t="shared" si="5"/>
        <v>108</v>
      </c>
      <c r="I24" s="45" t="s">
        <v>92</v>
      </c>
      <c r="J24" s="46" t="s">
        <v>93</v>
      </c>
      <c r="K24" s="45">
        <v>108</v>
      </c>
      <c r="L24" s="45" t="s">
        <v>94</v>
      </c>
      <c r="M24" s="46" t="s">
        <v>57</v>
      </c>
      <c r="N24" s="46"/>
      <c r="O24" s="47" t="s">
        <v>66</v>
      </c>
      <c r="P24" s="47" t="s">
        <v>67</v>
      </c>
    </row>
    <row r="25" spans="1:16" ht="12.75" customHeight="1" thickBot="1" x14ac:dyDescent="0.25">
      <c r="A25" s="10" t="str">
        <f t="shared" si="0"/>
        <v> AC 205.24 </v>
      </c>
      <c r="B25" s="3" t="str">
        <f t="shared" si="1"/>
        <v>I</v>
      </c>
      <c r="C25" s="10">
        <f t="shared" si="2"/>
        <v>33153.449999999997</v>
      </c>
      <c r="D25" s="12" t="str">
        <f t="shared" si="3"/>
        <v>vis</v>
      </c>
      <c r="E25" s="44">
        <f>VLOOKUP(C25,A!C$21:E$973,3,FALSE)</f>
        <v>-640.99654809151207</v>
      </c>
      <c r="F25" s="3" t="s">
        <v>51</v>
      </c>
      <c r="G25" s="12" t="str">
        <f t="shared" si="4"/>
        <v>33153.450</v>
      </c>
      <c r="H25" s="10">
        <f t="shared" si="5"/>
        <v>193</v>
      </c>
      <c r="I25" s="45" t="s">
        <v>95</v>
      </c>
      <c r="J25" s="46" t="s">
        <v>96</v>
      </c>
      <c r="K25" s="45">
        <v>193</v>
      </c>
      <c r="L25" s="45" t="s">
        <v>97</v>
      </c>
      <c r="M25" s="46" t="s">
        <v>57</v>
      </c>
      <c r="N25" s="46"/>
      <c r="O25" s="47" t="s">
        <v>66</v>
      </c>
      <c r="P25" s="47" t="s">
        <v>67</v>
      </c>
    </row>
    <row r="26" spans="1:16" ht="12.75" customHeight="1" thickBot="1" x14ac:dyDescent="0.25">
      <c r="A26" s="10" t="str">
        <f t="shared" si="0"/>
        <v> AC 205.24 </v>
      </c>
      <c r="B26" s="3" t="str">
        <f t="shared" si="1"/>
        <v>I</v>
      </c>
      <c r="C26" s="10">
        <f t="shared" si="2"/>
        <v>33214.248</v>
      </c>
      <c r="D26" s="12" t="str">
        <f t="shared" si="3"/>
        <v>vis</v>
      </c>
      <c r="E26" s="44">
        <f>VLOOKUP(C26,A!C$21:E$973,3,FALSE)</f>
        <v>-638.98244893361857</v>
      </c>
      <c r="F26" s="3" t="s">
        <v>51</v>
      </c>
      <c r="G26" s="12" t="str">
        <f t="shared" si="4"/>
        <v>33214.248</v>
      </c>
      <c r="H26" s="10">
        <f t="shared" si="5"/>
        <v>195</v>
      </c>
      <c r="I26" s="45" t="s">
        <v>98</v>
      </c>
      <c r="J26" s="46" t="s">
        <v>99</v>
      </c>
      <c r="K26" s="45">
        <v>195</v>
      </c>
      <c r="L26" s="45" t="s">
        <v>100</v>
      </c>
      <c r="M26" s="46" t="s">
        <v>57</v>
      </c>
      <c r="N26" s="46"/>
      <c r="O26" s="47" t="s">
        <v>66</v>
      </c>
      <c r="P26" s="47" t="s">
        <v>67</v>
      </c>
    </row>
    <row r="27" spans="1:16" ht="12.75" customHeight="1" thickBot="1" x14ac:dyDescent="0.25">
      <c r="A27" s="10" t="str">
        <f t="shared" si="0"/>
        <v> AC 205.24 </v>
      </c>
      <c r="B27" s="3" t="str">
        <f t="shared" si="1"/>
        <v>I</v>
      </c>
      <c r="C27" s="10">
        <f t="shared" si="2"/>
        <v>34240.334000000003</v>
      </c>
      <c r="D27" s="12" t="str">
        <f t="shared" si="3"/>
        <v>vis</v>
      </c>
      <c r="E27" s="44">
        <f>VLOOKUP(C27,A!C$21:E$973,3,FALSE)</f>
        <v>-604.99055859962482</v>
      </c>
      <c r="F27" s="3" t="s">
        <v>51</v>
      </c>
      <c r="G27" s="12" t="str">
        <f t="shared" si="4"/>
        <v>34240.334</v>
      </c>
      <c r="H27" s="10">
        <f t="shared" si="5"/>
        <v>229</v>
      </c>
      <c r="I27" s="45" t="s">
        <v>101</v>
      </c>
      <c r="J27" s="46" t="s">
        <v>102</v>
      </c>
      <c r="K27" s="45">
        <v>229</v>
      </c>
      <c r="L27" s="45" t="s">
        <v>103</v>
      </c>
      <c r="M27" s="46" t="s">
        <v>57</v>
      </c>
      <c r="N27" s="46"/>
      <c r="O27" s="47" t="s">
        <v>66</v>
      </c>
      <c r="P27" s="47" t="s">
        <v>67</v>
      </c>
    </row>
    <row r="28" spans="1:16" ht="12.75" customHeight="1" thickBot="1" x14ac:dyDescent="0.25">
      <c r="A28" s="10" t="str">
        <f t="shared" si="0"/>
        <v> AC 205.24 </v>
      </c>
      <c r="B28" s="3" t="str">
        <f t="shared" si="1"/>
        <v>I</v>
      </c>
      <c r="C28" s="10">
        <f t="shared" si="2"/>
        <v>34330.483</v>
      </c>
      <c r="D28" s="12" t="str">
        <f t="shared" si="3"/>
        <v>vis</v>
      </c>
      <c r="E28" s="44">
        <f>VLOOKUP(C28,A!C$21:E$973,3,FALSE)</f>
        <v>-602.0041277139884</v>
      </c>
      <c r="F28" s="3" t="s">
        <v>51</v>
      </c>
      <c r="G28" s="12" t="str">
        <f t="shared" si="4"/>
        <v>34330.483</v>
      </c>
      <c r="H28" s="10">
        <f t="shared" si="5"/>
        <v>232</v>
      </c>
      <c r="I28" s="45" t="s">
        <v>104</v>
      </c>
      <c r="J28" s="46" t="s">
        <v>105</v>
      </c>
      <c r="K28" s="45">
        <v>232</v>
      </c>
      <c r="L28" s="45" t="s">
        <v>106</v>
      </c>
      <c r="M28" s="46" t="s">
        <v>57</v>
      </c>
      <c r="N28" s="46"/>
      <c r="O28" s="47" t="s">
        <v>66</v>
      </c>
      <c r="P28" s="47" t="s">
        <v>67</v>
      </c>
    </row>
    <row r="29" spans="1:16" ht="12.75" customHeight="1" thickBot="1" x14ac:dyDescent="0.25">
      <c r="A29" s="10" t="str">
        <f t="shared" si="0"/>
        <v> AAC 5.193 </v>
      </c>
      <c r="B29" s="3" t="str">
        <f t="shared" si="1"/>
        <v>I</v>
      </c>
      <c r="C29" s="10">
        <f t="shared" si="2"/>
        <v>34481.519999999997</v>
      </c>
      <c r="D29" s="12" t="str">
        <f t="shared" si="3"/>
        <v>vis</v>
      </c>
      <c r="E29" s="44">
        <f>VLOOKUP(C29,A!C$21:E$973,3,FALSE)</f>
        <v>-597.00061617560345</v>
      </c>
      <c r="F29" s="3" t="s">
        <v>51</v>
      </c>
      <c r="G29" s="12" t="str">
        <f t="shared" si="4"/>
        <v>34481.52</v>
      </c>
      <c r="H29" s="10">
        <f t="shared" si="5"/>
        <v>237</v>
      </c>
      <c r="I29" s="45" t="s">
        <v>107</v>
      </c>
      <c r="J29" s="46" t="s">
        <v>108</v>
      </c>
      <c r="K29" s="45">
        <v>237</v>
      </c>
      <c r="L29" s="45" t="s">
        <v>109</v>
      </c>
      <c r="M29" s="46" t="s">
        <v>85</v>
      </c>
      <c r="N29" s="46"/>
      <c r="O29" s="47" t="s">
        <v>110</v>
      </c>
      <c r="P29" s="47" t="s">
        <v>111</v>
      </c>
    </row>
    <row r="30" spans="1:16" ht="12.75" customHeight="1" thickBot="1" x14ac:dyDescent="0.25">
      <c r="A30" s="10" t="str">
        <f t="shared" si="0"/>
        <v> AC 205.24 </v>
      </c>
      <c r="B30" s="3" t="str">
        <f t="shared" si="1"/>
        <v>I</v>
      </c>
      <c r="C30" s="10">
        <f t="shared" si="2"/>
        <v>35447.184000000001</v>
      </c>
      <c r="D30" s="12" t="str">
        <f t="shared" si="3"/>
        <v>vis</v>
      </c>
      <c r="E30" s="44">
        <f>VLOOKUP(C30,A!C$21:E$973,3,FALSE)</f>
        <v>-565.01036897655206</v>
      </c>
      <c r="F30" s="3" t="s">
        <v>51</v>
      </c>
      <c r="G30" s="12" t="str">
        <f t="shared" si="4"/>
        <v>35447.184</v>
      </c>
      <c r="H30" s="10">
        <f t="shared" si="5"/>
        <v>269</v>
      </c>
      <c r="I30" s="45" t="s">
        <v>112</v>
      </c>
      <c r="J30" s="46" t="s">
        <v>113</v>
      </c>
      <c r="K30" s="45">
        <v>269</v>
      </c>
      <c r="L30" s="45" t="s">
        <v>114</v>
      </c>
      <c r="M30" s="46" t="s">
        <v>57</v>
      </c>
      <c r="N30" s="46"/>
      <c r="O30" s="47" t="s">
        <v>66</v>
      </c>
      <c r="P30" s="47" t="s">
        <v>67</v>
      </c>
    </row>
    <row r="31" spans="1:16" ht="12.75" customHeight="1" thickBot="1" x14ac:dyDescent="0.25">
      <c r="A31" s="10" t="str">
        <f t="shared" si="0"/>
        <v>OEJV 0116 </v>
      </c>
      <c r="B31" s="3" t="str">
        <f t="shared" si="1"/>
        <v>I</v>
      </c>
      <c r="C31" s="10">
        <f t="shared" si="2"/>
        <v>54011.983999999997</v>
      </c>
      <c r="D31" s="12" t="str">
        <f t="shared" si="3"/>
        <v>vis</v>
      </c>
      <c r="E31" s="44">
        <f>VLOOKUP(C31,A!C$21:E$973,3,FALSE)</f>
        <v>49.999138679264021</v>
      </c>
      <c r="F31" s="3" t="s">
        <v>51</v>
      </c>
      <c r="G31" s="12" t="str">
        <f t="shared" si="4"/>
        <v>54011.984</v>
      </c>
      <c r="H31" s="10">
        <f t="shared" si="5"/>
        <v>884</v>
      </c>
      <c r="I31" s="45" t="s">
        <v>121</v>
      </c>
      <c r="J31" s="46" t="s">
        <v>122</v>
      </c>
      <c r="K31" s="45">
        <v>884</v>
      </c>
      <c r="L31" s="45" t="s">
        <v>123</v>
      </c>
      <c r="M31" s="46" t="s">
        <v>118</v>
      </c>
      <c r="N31" s="46" t="s">
        <v>124</v>
      </c>
      <c r="O31" s="47" t="s">
        <v>125</v>
      </c>
      <c r="P31" s="48" t="s">
        <v>126</v>
      </c>
    </row>
    <row r="32" spans="1:16" ht="12.75" customHeight="1" thickBot="1" x14ac:dyDescent="0.25">
      <c r="A32" s="10" t="str">
        <f t="shared" si="0"/>
        <v>OEJV 0116 </v>
      </c>
      <c r="B32" s="3" t="str">
        <f t="shared" si="1"/>
        <v>I</v>
      </c>
      <c r="C32" s="10">
        <f t="shared" si="2"/>
        <v>54011.985999999997</v>
      </c>
      <c r="D32" s="12" t="str">
        <f t="shared" si="3"/>
        <v>vis</v>
      </c>
      <c r="E32" s="44">
        <f>VLOOKUP(C32,A!C$21:E$973,3,FALSE)</f>
        <v>49.999204934705268</v>
      </c>
      <c r="F32" s="3" t="s">
        <v>51</v>
      </c>
      <c r="G32" s="12" t="str">
        <f t="shared" si="4"/>
        <v>54011.986</v>
      </c>
      <c r="H32" s="10">
        <f t="shared" si="5"/>
        <v>884</v>
      </c>
      <c r="I32" s="45" t="s">
        <v>127</v>
      </c>
      <c r="J32" s="46" t="s">
        <v>128</v>
      </c>
      <c r="K32" s="45">
        <v>884</v>
      </c>
      <c r="L32" s="45" t="s">
        <v>129</v>
      </c>
      <c r="M32" s="46" t="s">
        <v>118</v>
      </c>
      <c r="N32" s="46" t="s">
        <v>130</v>
      </c>
      <c r="O32" s="47" t="s">
        <v>125</v>
      </c>
      <c r="P32" s="48" t="s">
        <v>126</v>
      </c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</sheetData>
  <phoneticPr fontId="8" type="noConversion"/>
  <hyperlinks>
    <hyperlink ref="P11" r:id="rId1" display="http://www.konkoly.hu/cgi-bin/IBVS?5809"/>
    <hyperlink ref="P31" r:id="rId2" display="http://var.astro.cz/oejv/issues/oejv0116.pdf"/>
    <hyperlink ref="P32" r:id="rId3" display="http://var.astro.cz/oejv/issues/oejv0116.pdf"/>
    <hyperlink ref="P12" r:id="rId4" display="http://var.astro.cz/oejv/issues/oejv0172.pdf"/>
    <hyperlink ref="P13" r:id="rId5" display="http://var.astro.cz/oejv/issues/oejv0172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2024-01-23T02:30:27Z</dcterms:modified>
</cp:coreProperties>
</file>