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832A0F3-0472-4A9B-9490-EDE1CB6D191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Graphs 2" sheetId="5" r:id="rId3"/>
    <sheet name="B" sheetId="4" r:id="rId4"/>
  </sheets>
  <calcPr calcId="181029"/>
</workbook>
</file>

<file path=xl/calcChain.xml><?xml version="1.0" encoding="utf-8"?>
<calcChain xmlns="http://schemas.openxmlformats.org/spreadsheetml/2006/main">
  <c r="E26" i="4" l="1"/>
  <c r="F26" i="4"/>
  <c r="G26" i="4"/>
  <c r="J26" i="4"/>
  <c r="Q26" i="4"/>
  <c r="E26" i="2"/>
  <c r="F26" i="2"/>
  <c r="G26" i="2"/>
  <c r="J26" i="2"/>
  <c r="Q26" i="2"/>
  <c r="E26" i="1"/>
  <c r="F26" i="1"/>
  <c r="G26" i="1"/>
  <c r="J26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J25" i="1"/>
  <c r="Q26" i="1"/>
  <c r="E2" i="4"/>
  <c r="C8" i="4"/>
  <c r="F2" i="4"/>
  <c r="C13" i="4"/>
  <c r="C14" i="4"/>
  <c r="D14" i="4"/>
  <c r="D13" i="4"/>
  <c r="F12" i="4"/>
  <c r="F13" i="4" s="1"/>
  <c r="C17" i="4"/>
  <c r="E19" i="4"/>
  <c r="S19" i="4"/>
  <c r="Q21" i="4"/>
  <c r="Q22" i="4"/>
  <c r="Q23" i="4"/>
  <c r="Q24" i="4"/>
  <c r="Q25" i="4"/>
  <c r="E25" i="2"/>
  <c r="F25" i="2"/>
  <c r="G25" i="2"/>
  <c r="E23" i="2"/>
  <c r="F23" i="2"/>
  <c r="G23" i="2"/>
  <c r="E24" i="2"/>
  <c r="F24" i="2"/>
  <c r="G24" i="2"/>
  <c r="E22" i="2"/>
  <c r="F22" i="2"/>
  <c r="G22" i="2"/>
  <c r="Q24" i="1"/>
  <c r="E21" i="1"/>
  <c r="F21" i="1"/>
  <c r="G21" i="1"/>
  <c r="H21" i="1"/>
  <c r="Q21" i="1"/>
  <c r="E14" i="1"/>
  <c r="C17" i="1"/>
  <c r="Q25" i="2"/>
  <c r="E2" i="2"/>
  <c r="F2" i="2"/>
  <c r="C14" i="2"/>
  <c r="C13" i="2"/>
  <c r="E21" i="2"/>
  <c r="F21" i="2"/>
  <c r="G21" i="2"/>
  <c r="D14" i="2"/>
  <c r="D13" i="2"/>
  <c r="F12" i="2"/>
  <c r="F13" i="2" s="1"/>
  <c r="C17" i="2"/>
  <c r="Q21" i="2"/>
  <c r="Q22" i="2"/>
  <c r="Q23" i="2"/>
  <c r="Q24" i="2"/>
  <c r="E2" i="1"/>
  <c r="Q23" i="1"/>
  <c r="Q22" i="1"/>
  <c r="Q25" i="1"/>
  <c r="U22" i="2"/>
  <c r="S22" i="2"/>
  <c r="I22" i="2"/>
  <c r="I24" i="2"/>
  <c r="R24" i="2"/>
  <c r="S23" i="2"/>
  <c r="I23" i="2"/>
  <c r="G7" i="2"/>
  <c r="R21" i="2"/>
  <c r="H21" i="2"/>
  <c r="E25" i="4"/>
  <c r="F25" i="4"/>
  <c r="G25" i="4"/>
  <c r="E24" i="4"/>
  <c r="F24" i="4"/>
  <c r="G24" i="4"/>
  <c r="E21" i="4"/>
  <c r="F21" i="4"/>
  <c r="E22" i="4"/>
  <c r="F22" i="4"/>
  <c r="G22" i="4"/>
  <c r="E23" i="4"/>
  <c r="F23" i="4"/>
  <c r="G23" i="4"/>
  <c r="J25" i="2"/>
  <c r="R25" i="2"/>
  <c r="R19" i="2"/>
  <c r="E18" i="2"/>
  <c r="R22" i="4"/>
  <c r="U22" i="4"/>
  <c r="I22" i="4"/>
  <c r="S19" i="2"/>
  <c r="E19" i="2"/>
  <c r="G21" i="4"/>
  <c r="R23" i="4"/>
  <c r="I23" i="4"/>
  <c r="I24" i="4"/>
  <c r="R24" i="4"/>
  <c r="G8" i="2"/>
  <c r="G9" i="2"/>
  <c r="J25" i="4"/>
  <c r="R25" i="4"/>
  <c r="R21" i="4"/>
  <c r="H21" i="4"/>
  <c r="R19" i="4"/>
  <c r="E18" i="4"/>
  <c r="D12" i="4"/>
  <c r="C11" i="2"/>
  <c r="D11" i="4"/>
  <c r="D12" i="2"/>
  <c r="D11" i="2"/>
  <c r="C12" i="2"/>
  <c r="C11" i="1"/>
  <c r="C11" i="4"/>
  <c r="C16" i="2" l="1"/>
  <c r="D18" i="2" s="1"/>
  <c r="D15" i="2"/>
  <c r="C19" i="2" s="1"/>
  <c r="P21" i="2"/>
  <c r="D16" i="2"/>
  <c r="D19" i="2" s="1"/>
  <c r="P21" i="4"/>
  <c r="D15" i="4"/>
  <c r="C19" i="4" s="1"/>
  <c r="O25" i="2"/>
  <c r="O24" i="2"/>
  <c r="O22" i="2"/>
  <c r="C15" i="2"/>
  <c r="O26" i="2"/>
  <c r="O23" i="2"/>
  <c r="O21" i="2"/>
  <c r="D16" i="4"/>
  <c r="D19" i="4" s="1"/>
  <c r="E15" i="1"/>
  <c r="C12" i="1"/>
  <c r="C12" i="4"/>
  <c r="C16" i="4" l="1"/>
  <c r="D18" i="4" s="1"/>
  <c r="O25" i="4"/>
  <c r="C15" i="4"/>
  <c r="O22" i="4"/>
  <c r="O23" i="4"/>
  <c r="O24" i="4"/>
  <c r="O21" i="4"/>
  <c r="O26" i="4"/>
  <c r="C16" i="1"/>
  <c r="D18" i="1" s="1"/>
  <c r="O25" i="1"/>
  <c r="O21" i="1"/>
  <c r="C15" i="1"/>
  <c r="O26" i="1"/>
  <c r="O24" i="1"/>
  <c r="O23" i="1"/>
  <c r="O22" i="1"/>
  <c r="F14" i="2"/>
  <c r="F15" i="2" s="1"/>
  <c r="C18" i="2"/>
  <c r="C18" i="1" l="1"/>
  <c r="E16" i="1"/>
  <c r="E17" i="1" s="1"/>
  <c r="F14" i="4"/>
  <c r="F15" i="4" s="1"/>
  <c r="C18" i="4"/>
</calcChain>
</file>

<file path=xl/sharedStrings.xml><?xml version="1.0" encoding="utf-8"?>
<sst xmlns="http://schemas.openxmlformats.org/spreadsheetml/2006/main" count="205" uniqueCount="79">
  <si>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</si>
  <si>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</si>
  <si>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</si>
  <si>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</si>
  <si>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</si>
  <si>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</si>
  <si>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</si>
  <si>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</si>
  <si>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</si>
  <si>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</si>
  <si>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</si>
  <si>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</si>
  <si>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</si>
  <si>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</si>
  <si>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</si>
  <si>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</si>
  <si>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</si>
  <si>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</si>
  <si>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</si>
  <si>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</si>
  <si>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</si>
  <si>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</si>
  <si>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</si>
  <si>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Sec. Fit</t>
  </si>
  <si>
    <t>S4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</si>
  <si>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</si>
  <si>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</si>
  <si>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</si>
  <si>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</si>
  <si>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</si>
  <si>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</si>
  <si>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</si>
  <si>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</si>
  <si>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</si>
  <si>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</si>
  <si>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</si>
  <si>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</si>
  <si>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</si>
  <si>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GSC 4267-0588</t>
  </si>
  <si>
    <t xml:space="preserve">P = </t>
  </si>
  <si>
    <t>hours</t>
  </si>
  <si>
    <t>EW</t>
  </si>
  <si>
    <t>Cep</t>
  </si>
  <si>
    <t>days</t>
  </si>
  <si>
    <t>aka</t>
  </si>
  <si>
    <t>RHN-068</t>
  </si>
  <si>
    <t>Molnar</t>
  </si>
  <si>
    <t>RHN 2012</t>
  </si>
  <si>
    <t>Lubke pc</t>
  </si>
  <si>
    <t>Nelson</t>
  </si>
  <si>
    <t>Calvin</t>
  </si>
  <si>
    <t>Lubke</t>
  </si>
  <si>
    <t>not avail.</t>
  </si>
  <si>
    <t>Sec'y eclipse is</t>
  </si>
  <si>
    <t>days early</t>
  </si>
  <si>
    <t>hours early</t>
  </si>
  <si>
    <t>That is, at phase</t>
  </si>
  <si>
    <t>or ------------------&gt;</t>
  </si>
  <si>
    <t>Primary Fit</t>
  </si>
  <si>
    <t>I</t>
  </si>
  <si>
    <t>II</t>
  </si>
  <si>
    <t>Calvin A (V)</t>
  </si>
  <si>
    <t>Calvin A (R)</t>
  </si>
  <si>
    <t>Original period from Larry Molnar</t>
  </si>
  <si>
    <t>Linear</t>
  </si>
  <si>
    <t>Quadratic</t>
  </si>
  <si>
    <t>LS Quadr term =</t>
  </si>
  <si>
    <t>na</t>
  </si>
  <si>
    <t># of data points:</t>
  </si>
  <si>
    <t>New Ephemeris =</t>
  </si>
  <si>
    <t>Start of linear fit &gt;&gt;&gt;&gt;&gt;&gt;&gt;&gt;&gt;&gt;&gt;&gt;&gt;&gt;&gt;&gt;&gt;&gt;&gt;&gt;&gt;</t>
  </si>
  <si>
    <t>Lin Fit</t>
  </si>
  <si>
    <t>Q. Fit</t>
  </si>
  <si>
    <t>BAD</t>
  </si>
  <si>
    <t>Calvin B (R)</t>
  </si>
  <si>
    <t>aka RHN-055</t>
  </si>
  <si>
    <t>IBVS 6050</t>
  </si>
  <si>
    <t>OEJV 0179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</si>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</sst>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2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9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5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4" borderId="11" xfId="0" applyFill="1" applyBorder="1" applyAlignment="1"/>
    <xf numFmtId="0" fontId="0" fillId="25" borderId="12" xfId="0" applyFill="1" applyBorder="1" applyAlignment="1"/>
    <xf numFmtId="0" fontId="0" fillId="24" borderId="13" xfId="0" applyFill="1" applyBorder="1" applyAlignment="1"/>
    <xf numFmtId="0" fontId="0" fillId="24" borderId="14" xfId="0" applyFill="1" applyBorder="1" applyAlignment="1"/>
    <xf numFmtId="0" fontId="0" fillId="24" borderId="0" xfId="0" applyFill="1" applyBorder="1" applyAlignment="1"/>
    <xf numFmtId="0" fontId="0" fillId="24" borderId="15" xfId="0" applyFill="1" applyBorder="1" applyAlignment="1"/>
    <xf numFmtId="0" fontId="0" fillId="24" borderId="16" xfId="0" applyFill="1" applyBorder="1" applyAlignment="1"/>
    <xf numFmtId="0" fontId="0" fillId="24" borderId="10" xfId="0" applyFill="1" applyBorder="1" applyAlignment="1"/>
    <xf numFmtId="0" fontId="0" fillId="24" borderId="17" xfId="0" applyFill="1" applyBorder="1" applyAlignment="1"/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17" fillId="0" borderId="0" xfId="0" applyFont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Prim. O-C Diagr.</a:t>
            </a:r>
          </a:p>
        </c:rich>
      </c:tx>
      <c:layout>
        <c:manualLayout>
          <c:xMode val="edge"/>
          <c:yMode val="edge"/>
          <c:x val="0.28571446216281787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6639965730014"/>
          <c:y val="0.14457831325301204"/>
          <c:w val="0.80168133016128063"/>
          <c:h val="0.63554216867469882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1'!$D$21:$D$33</c:f>
                <c:numCache>
                  <c:formatCode>General</c:formatCode>
                  <c:ptCount val="13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1'!$D$21:$D$33</c:f>
                <c:numCache>
                  <c:formatCode>General</c:formatCode>
                  <c:ptCount val="13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4-4042-A84C-A0E2726F3E0E}"/>
            </c:ext>
          </c:extLst>
        </c:ser>
        <c:ser>
          <c:idx val="7"/>
          <c:order val="1"/>
          <c:tx>
            <c:strRef>
              <c:f>'Active 1'!$I$20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4-4042-A84C-A0E2726F3E0E}"/>
            </c:ext>
          </c:extLst>
        </c:ser>
        <c:ser>
          <c:idx val="0"/>
          <c:order val="2"/>
          <c:tx>
            <c:strRef>
              <c:f>'Active 1'!$J$20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54-4042-A84C-A0E2726F3E0E}"/>
            </c:ext>
          </c:extLst>
        </c:ser>
        <c:ser>
          <c:idx val="1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54-4042-A84C-A0E2726F3E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54-4042-A84C-A0E2726F3E0E}"/>
            </c:ext>
          </c:extLst>
        </c:ser>
        <c:ser>
          <c:idx val="3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54-4042-A84C-A0E2726F3E0E}"/>
            </c:ext>
          </c:extLst>
        </c:ser>
        <c:ser>
          <c:idx val="4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54-4042-A84C-A0E2726F3E0E}"/>
            </c:ext>
          </c:extLst>
        </c:ser>
        <c:ser>
          <c:idx val="5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1.2458247085553528E-3</c:v>
                </c:pt>
                <c:pt idx="1">
                  <c:v>1.9304088012847796E-3</c:v>
                </c:pt>
                <c:pt idx="2">
                  <c:v>1.9304088012847796E-3</c:v>
                </c:pt>
                <c:pt idx="3">
                  <c:v>2.1586034988612551E-3</c:v>
                </c:pt>
                <c:pt idx="4">
                  <c:v>1.6306674748602742E-2</c:v>
                </c:pt>
                <c:pt idx="5">
                  <c:v>0.18266060928185346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54-4042-A84C-A0E2726F3E0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54-4042-A84C-A0E2726F3E0E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54-4042-A84C-A0E2726F3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12072"/>
        <c:axId val="1"/>
      </c:scatterChart>
      <c:valAx>
        <c:axId val="914912072"/>
        <c:scaling>
          <c:orientation val="minMax"/>
          <c:max val="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781565539601661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00840336134456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12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87394957983194E-2"/>
          <c:y val="0.92168674698795183"/>
          <c:w val="0.9747907982090474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Sec. O-C Diagr.</a:t>
            </a:r>
          </a:p>
        </c:rich>
      </c:tx>
      <c:layout>
        <c:manualLayout>
          <c:xMode val="edge"/>
          <c:yMode val="edge"/>
          <c:x val="0.2448981734426053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2055865409625"/>
          <c:y val="0.14414456686540114"/>
          <c:w val="0.80408243391505296"/>
          <c:h val="0.63663850365552166"/>
        </c:manualLayout>
      </c:layout>
      <c:scatterChart>
        <c:scatterStyle val="lineMarker"/>
        <c:varyColors val="0"/>
        <c:ser>
          <c:idx val="6"/>
          <c:order val="0"/>
          <c:tx>
            <c:strRef>
              <c:f>B!$S$20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B!$D$21:$D$41</c:f>
                <c:numCache>
                  <c:formatCode>General</c:formatCode>
                  <c:ptCount val="21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B!$D$21:$D$41</c:f>
                <c:numCache>
                  <c:formatCode>General</c:formatCode>
                  <c:ptCount val="21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B!$S$21:$S$920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E-49B8-B79B-D71C6B075A5C}"/>
            </c:ext>
          </c:extLst>
        </c:ser>
        <c:ser>
          <c:idx val="7"/>
          <c:order val="1"/>
          <c:tx>
            <c:strRef>
              <c:f>B!$P$20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B!$P$21:$P$920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E-49B8-B79B-D71C6B07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792552"/>
        <c:axId val="1"/>
      </c:scatterChart>
      <c:valAx>
        <c:axId val="91479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792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75553055868017"/>
          <c:y val="0.92192475940507435"/>
          <c:w val="0.71836820397450318"/>
          <c:h val="0.981985134741040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O-C Diagr.</a:t>
            </a:r>
          </a:p>
        </c:rich>
      </c:tx>
      <c:layout>
        <c:manualLayout>
          <c:xMode val="edge"/>
          <c:yMode val="edge"/>
          <c:x val="0.33011322860004816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1745564968243"/>
          <c:y val="0.15238142479360364"/>
          <c:w val="0.82125733012739366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plus>
            <c:minus>
              <c:numRef>
                <c:f>B!$C$21:$C$493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B!$H$21:$H$920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45-4688-B286-B2BCDF63364F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B!$I$21:$I$920</c:f>
              <c:numCache>
                <c:formatCode>General</c:formatCode>
                <c:ptCount val="900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45-4688-B286-B2BCDF63364F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B!$J$21:$J$920</c:f>
              <c:numCache>
                <c:formatCode>General</c:formatCode>
                <c:ptCount val="900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45-4688-B286-B2BCDF63364F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45-4688-B286-B2BCDF63364F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45-4688-B286-B2BCDF63364F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45-4688-B286-B2BCDF63364F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45-4688-B286-B2BCDF63364F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B!$O$21:$O$920</c:f>
              <c:numCache>
                <c:formatCode>General</c:formatCode>
                <c:ptCount val="900"/>
                <c:pt idx="0">
                  <c:v>9.8670684623756305E-4</c:v>
                </c:pt>
                <c:pt idx="1">
                  <c:v>1.672354828055456E-3</c:v>
                </c:pt>
                <c:pt idx="2">
                  <c:v>1.672354828055456E-3</c:v>
                </c:pt>
                <c:pt idx="3">
                  <c:v>1.9009041553280871E-3</c:v>
                </c:pt>
                <c:pt idx="4">
                  <c:v>1.6070962446231209E-2</c:v>
                </c:pt>
                <c:pt idx="5">
                  <c:v>0.18268342202797921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45-4688-B286-B2BCDF63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797592"/>
        <c:axId val="1"/>
      </c:scatterChart>
      <c:valAx>
        <c:axId val="914797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1211744667187"/>
              <c:y val="0.831748698079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508036495438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79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1272141706924315E-2"/>
          <c:y val="0.91746331708536433"/>
          <c:w val="0.93719958918178714"/>
          <c:h val="0.9809557138690996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Primary O-C Diagr.</a:t>
            </a:r>
          </a:p>
        </c:rich>
      </c:tx>
      <c:layout>
        <c:manualLayout>
          <c:xMode val="edge"/>
          <c:yMode val="edge"/>
          <c:x val="0.21784232365145229"/>
          <c:y val="1.492537313432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97510373443983"/>
          <c:y val="0.11940298507462686"/>
          <c:w val="0.80497925311203322"/>
          <c:h val="0.67164179104477617"/>
        </c:manualLayout>
      </c:layout>
      <c:scatterChart>
        <c:scatterStyle val="lineMarker"/>
        <c:varyColors val="0"/>
        <c:ser>
          <c:idx val="6"/>
          <c:order val="0"/>
          <c:tx>
            <c:strRef>
              <c:f>B!$R$20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B!$D$21:$D$32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B!$R$21:$R$920</c:f>
              <c:numCache>
                <c:formatCode>General</c:formatCode>
                <c:ptCount val="900"/>
                <c:pt idx="0">
                  <c:v>0</c:v>
                </c:pt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C-4884-BFF3-43A31AA4E01C}"/>
            </c:ext>
          </c:extLst>
        </c:ser>
        <c:ser>
          <c:idx val="7"/>
          <c:order val="1"/>
          <c:tx>
            <c:strRef>
              <c:f>B!$O$20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B!$O$21:$O$920</c:f>
              <c:numCache>
                <c:formatCode>General</c:formatCode>
                <c:ptCount val="900"/>
                <c:pt idx="0">
                  <c:v>9.8670684623756305E-4</c:v>
                </c:pt>
                <c:pt idx="1">
                  <c:v>1.672354828055456E-3</c:v>
                </c:pt>
                <c:pt idx="2">
                  <c:v>1.672354828055456E-3</c:v>
                </c:pt>
                <c:pt idx="3">
                  <c:v>1.9009041553280871E-3</c:v>
                </c:pt>
                <c:pt idx="4">
                  <c:v>1.6070962446231209E-2</c:v>
                </c:pt>
                <c:pt idx="5">
                  <c:v>0.18268342202797921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C-4884-BFF3-43A31AA4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799752"/>
        <c:axId val="1"/>
      </c:scatterChart>
      <c:valAx>
        <c:axId val="91479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19502074688796"/>
              <c:y val="0.88059701492537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0373443983402489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79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O-C Diagram</a:t>
            </a:r>
          </a:p>
        </c:rich>
      </c:tx>
      <c:layout>
        <c:manualLayout>
          <c:xMode val="edge"/>
          <c:yMode val="edge"/>
          <c:x val="0.28676489887293499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8248163782602"/>
          <c:y val="0.15987485286486833"/>
          <c:w val="0.81250072928101424"/>
          <c:h val="0.60188179902068084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B!$R$21:$R$920</c:f>
              <c:numCache>
                <c:formatCode>General</c:formatCode>
                <c:ptCount val="900"/>
                <c:pt idx="0">
                  <c:v>0</c:v>
                </c:pt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2-4961-AE33-AFC6098E5551}"/>
            </c:ext>
          </c:extLst>
        </c:ser>
        <c:ser>
          <c:idx val="1"/>
          <c:order val="1"/>
          <c:tx>
            <c:strRef>
              <c:f>B!$S$20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B!$D$21:$D$25</c:f>
                <c:numCache>
                  <c:formatCode>General</c:formatCode>
                  <c:ptCount val="5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</c:numCache>
              </c:numRef>
            </c:plus>
            <c:minus>
              <c:numRef>
                <c:f>B!$D$21:$D$25</c:f>
                <c:numCache>
                  <c:formatCode>General</c:formatCode>
                  <c:ptCount val="5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B!$S$21:$S$920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32-4961-AE33-AFC6098E5551}"/>
            </c:ext>
          </c:extLst>
        </c:ser>
        <c:ser>
          <c:idx val="6"/>
          <c:order val="2"/>
          <c:tx>
            <c:strRef>
              <c:f>B!$O$20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B!$D$21:$D$24</c:f>
                <c:numCache>
                  <c:formatCode>General</c:formatCode>
                  <c:ptCount val="4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B!$D$21:$D$24</c:f>
                <c:numCache>
                  <c:formatCode>General</c:formatCode>
                  <c:ptCount val="4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B!$O$21:$O$24</c:f>
              <c:numCache>
                <c:formatCode>General</c:formatCode>
                <c:ptCount val="4"/>
                <c:pt idx="0">
                  <c:v>9.8670684623756305E-4</c:v>
                </c:pt>
                <c:pt idx="1">
                  <c:v>1.672354828055456E-3</c:v>
                </c:pt>
                <c:pt idx="2">
                  <c:v>1.672354828055456E-3</c:v>
                </c:pt>
                <c:pt idx="3">
                  <c:v>1.9009041553280871E-3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32-4961-AE33-AFC6098E5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01552"/>
        <c:axId val="1"/>
      </c:scatterChart>
      <c:valAx>
        <c:axId val="91480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78018372703413"/>
              <c:y val="0.85580068949061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9.1911764705882356E-3"/>
              <c:y val="0.30094076798393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0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31619576964644"/>
          <c:y val="0.91222702177901738"/>
          <c:w val="0.82353018372703424"/>
          <c:h val="0.974922946543907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Prim. O-C Diagr.</a:t>
            </a:r>
          </a:p>
        </c:rich>
      </c:tx>
      <c:layout>
        <c:manualLayout>
          <c:xMode val="edge"/>
          <c:yMode val="edge"/>
          <c:x val="0.2823134608173978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5601392434284"/>
          <c:y val="0.14414456686540114"/>
          <c:w val="0.81802856948303548"/>
          <c:h val="0.63663850365552166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1'!$D$21:$D$33</c:f>
                <c:numCache>
                  <c:formatCode>General</c:formatCode>
                  <c:ptCount val="13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1'!$D$21:$D$33</c:f>
                <c:numCache>
                  <c:formatCode>General</c:formatCode>
                  <c:ptCount val="13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A9-4C71-8435-CF36522DA4BB}"/>
            </c:ext>
          </c:extLst>
        </c:ser>
        <c:ser>
          <c:idx val="7"/>
          <c:order val="1"/>
          <c:tx>
            <c:strRef>
              <c:f>'Active 1'!$I$20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A9-4C71-8435-CF36522DA4BB}"/>
            </c:ext>
          </c:extLst>
        </c:ser>
        <c:ser>
          <c:idx val="0"/>
          <c:order val="2"/>
          <c:tx>
            <c:strRef>
              <c:f>'Active 1'!$J$20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A9-4C71-8435-CF36522DA4BB}"/>
            </c:ext>
          </c:extLst>
        </c:ser>
        <c:ser>
          <c:idx val="1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A9-4C71-8435-CF36522DA4B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A9-4C71-8435-CF36522DA4BB}"/>
            </c:ext>
          </c:extLst>
        </c:ser>
        <c:ser>
          <c:idx val="3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A9-4C71-8435-CF36522DA4BB}"/>
            </c:ext>
          </c:extLst>
        </c:ser>
        <c:ser>
          <c:idx val="4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A9-4C71-8435-CF36522DA4BB}"/>
            </c:ext>
          </c:extLst>
        </c:ser>
        <c:ser>
          <c:idx val="5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1.2458247085553528E-3</c:v>
                </c:pt>
                <c:pt idx="1">
                  <c:v>1.9304088012847796E-3</c:v>
                </c:pt>
                <c:pt idx="2">
                  <c:v>1.9304088012847796E-3</c:v>
                </c:pt>
                <c:pt idx="3">
                  <c:v>2.1586034988612551E-3</c:v>
                </c:pt>
                <c:pt idx="4">
                  <c:v>1.6306674748602742E-2</c:v>
                </c:pt>
                <c:pt idx="5">
                  <c:v>0.18266060928185346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A9-4C71-8435-CF36522DA4BB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A9-4C71-8435-CF36522DA4BB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CA9-4C71-8435-CF36522D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11352"/>
        <c:axId val="1"/>
      </c:scatterChart>
      <c:valAx>
        <c:axId val="914911352"/>
        <c:scaling>
          <c:orientation val="minMax"/>
          <c:max val="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1109682718233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20408163265307E-2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1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5034013605442185E-3"/>
          <c:y val="0.92192475940507435"/>
          <c:w val="0.9846954844930098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O-C Diagr.</a:t>
            </a:r>
          </a:p>
        </c:rich>
      </c:tx>
      <c:layout>
        <c:manualLayout>
          <c:xMode val="edge"/>
          <c:yMode val="edge"/>
          <c:x val="0.3290322580645161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328358208955225"/>
          <c:w val="0.8241935483870968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plus>
            <c:minus>
              <c:numRef>
                <c:f>'Active 2'!$C$21:$C$493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2'!$H$21:$H$920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4-4CAD-8013-5F7C929DD57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2'!$I$21:$I$920</c:f>
              <c:numCache>
                <c:formatCode>General</c:formatCode>
                <c:ptCount val="900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D4-4CAD-8013-5F7C929DD57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2'!$J$21:$J$920</c:f>
              <c:numCache>
                <c:formatCode>General</c:formatCode>
                <c:ptCount val="900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4-4CAD-8013-5F7C929DD57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D4-4CAD-8013-5F7C929DD57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D4-4CAD-8013-5F7C929DD57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D4-4CAD-8013-5F7C929DD57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D4-4CAD-8013-5F7C929D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85432"/>
        <c:axId val="1"/>
      </c:scatterChart>
      <c:valAx>
        <c:axId val="91488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4516129032258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0000000000000004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85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77419354838708"/>
          <c:y val="0.92238805970149251"/>
          <c:w val="0.61451612903225805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O-C Diagr.</a:t>
            </a:r>
          </a:p>
        </c:rich>
      </c:tx>
      <c:layout>
        <c:manualLayout>
          <c:xMode val="edge"/>
          <c:yMode val="edge"/>
          <c:x val="0.3301132286000481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1745564968243"/>
          <c:y val="0.15141955835962145"/>
          <c:w val="0.82125733012739366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plus>
            <c:minus>
              <c:numRef>
                <c:f>'Active 2'!$C$21:$C$493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2'!$H$21:$H$920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A-48AF-ADB5-DCA35A9D314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2'!$I$21:$I$920</c:f>
              <c:numCache>
                <c:formatCode>General</c:formatCode>
                <c:ptCount val="900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A-48AF-ADB5-DCA35A9D314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'Active 2'!$D$21:$D$21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2'!$J$21:$J$920</c:f>
              <c:numCache>
                <c:formatCode>General</c:formatCode>
                <c:ptCount val="900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2A-48AF-ADB5-DCA35A9D314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2A-48AF-ADB5-DCA35A9D314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2A-48AF-ADB5-DCA35A9D314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2A-48AF-ADB5-DCA35A9D314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2A-48AF-ADB5-DCA35A9D314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2'!$O$21:$O$920</c:f>
              <c:numCache>
                <c:formatCode>General</c:formatCode>
                <c:ptCount val="900"/>
                <c:pt idx="0">
                  <c:v>8.6405238332794981E-4</c:v>
                </c:pt>
                <c:pt idx="1">
                  <c:v>1.5501955872666089E-3</c:v>
                </c:pt>
                <c:pt idx="2">
                  <c:v>1.5501955872666089E-3</c:v>
                </c:pt>
                <c:pt idx="3">
                  <c:v>1.7789099885794951E-3</c:v>
                </c:pt>
                <c:pt idx="4">
                  <c:v>1.5959202869978449E-2</c:v>
                </c:pt>
                <c:pt idx="5">
                  <c:v>0.18269200142707262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2A-48AF-ADB5-DCA35A9D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02352"/>
        <c:axId val="1"/>
      </c:scatterChart>
      <c:valAx>
        <c:axId val="91490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1211744667187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0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272141706924315E-2"/>
          <c:y val="0.917981072555205"/>
          <c:w val="0.92592744747486277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Primary O-C Diagr.</a:t>
            </a:r>
          </a:p>
        </c:rich>
      </c:tx>
      <c:layout>
        <c:manualLayout>
          <c:xMode val="edge"/>
          <c:yMode val="edge"/>
          <c:x val="0.21784232365145229"/>
          <c:y val="1.492537313432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97510373443983"/>
          <c:y val="0.11940298507462686"/>
          <c:w val="0.80497925311203322"/>
          <c:h val="0.67164179104477617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2'!$R$20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2'!$R$21:$R$920</c:f>
              <c:numCache>
                <c:formatCode>General</c:formatCode>
                <c:ptCount val="900"/>
                <c:pt idx="0">
                  <c:v>0</c:v>
                </c:pt>
                <c:pt idx="3">
                  <c:v>2.1166666701901704E-3</c:v>
                </c:pt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D5-43A5-A3FB-BB35B1B74772}"/>
            </c:ext>
          </c:extLst>
        </c:ser>
        <c:ser>
          <c:idx val="7"/>
          <c:order val="1"/>
          <c:tx>
            <c:strRef>
              <c:f>'Active 2'!$O$20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2'!$O$21:$O$920</c:f>
              <c:numCache>
                <c:formatCode>General</c:formatCode>
                <c:ptCount val="900"/>
                <c:pt idx="0">
                  <c:v>8.6405238332794981E-4</c:v>
                </c:pt>
                <c:pt idx="1">
                  <c:v>1.5501955872666089E-3</c:v>
                </c:pt>
                <c:pt idx="2">
                  <c:v>1.5501955872666089E-3</c:v>
                </c:pt>
                <c:pt idx="3">
                  <c:v>1.7789099885794951E-3</c:v>
                </c:pt>
                <c:pt idx="4">
                  <c:v>1.5959202869978449E-2</c:v>
                </c:pt>
                <c:pt idx="5">
                  <c:v>0.18269200142707262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D5-43A5-A3FB-BB35B1B7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98752"/>
        <c:axId val="1"/>
      </c:scatterChart>
      <c:valAx>
        <c:axId val="91489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19502074688796"/>
              <c:y val="0.88059701492537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0373443983402489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9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Sec. O-C Diagr.</a:t>
            </a:r>
          </a:p>
        </c:rich>
      </c:tx>
      <c:layout>
        <c:manualLayout>
          <c:xMode val="edge"/>
          <c:yMode val="edge"/>
          <c:x val="0.2448981734426053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75528913752504"/>
          <c:y val="0.14328358208955225"/>
          <c:w val="0.76734770343162406"/>
          <c:h val="0.63880597014925378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2'!$S$20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2'!$D$21:$D$41</c:f>
                <c:numCache>
                  <c:formatCode>General</c:formatCode>
                  <c:ptCount val="21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2'!$D$21:$D$41</c:f>
                <c:numCache>
                  <c:formatCode>General</c:formatCode>
                  <c:ptCount val="21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2'!$S$21:$S$920</c:f>
              <c:numCache>
                <c:formatCode>General</c:formatCode>
                <c:ptCount val="900"/>
                <c:pt idx="1">
                  <c:v>1.7802482470870018E-3</c:v>
                </c:pt>
                <c:pt idx="2">
                  <c:v>1.9122902158414945E-3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9-4D05-83AA-CDD49831B765}"/>
            </c:ext>
          </c:extLst>
        </c:ser>
        <c:ser>
          <c:idx val="7"/>
          <c:order val="1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2'!$P$21:$P$920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9-4D05-83AA-CDD49831B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86152"/>
        <c:axId val="1"/>
      </c:scatterChart>
      <c:valAx>
        <c:axId val="91488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85778563393861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8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408206117092504"/>
          <c:y val="0.92238805970149251"/>
          <c:w val="0.3306126734158230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Prim. O-C Diagr.</a:t>
            </a:r>
          </a:p>
        </c:rich>
      </c:tx>
      <c:layout>
        <c:manualLayout>
          <c:xMode val="edge"/>
          <c:yMode val="edge"/>
          <c:x val="0.2349274531951697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79436029508053"/>
          <c:y val="0.14371278494688106"/>
          <c:w val="0.77546856267517483"/>
          <c:h val="0.63772548320178468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2'!$R$20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2'!$R$21:$R$920</c:f>
              <c:numCache>
                <c:formatCode>General</c:formatCode>
                <c:ptCount val="900"/>
                <c:pt idx="0">
                  <c:v>0</c:v>
                </c:pt>
                <c:pt idx="3">
                  <c:v>2.1166666701901704E-3</c:v>
                </c:pt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C-4B3E-92EF-745C4ECB1E94}"/>
            </c:ext>
          </c:extLst>
        </c:ser>
        <c:ser>
          <c:idx val="7"/>
          <c:order val="1"/>
          <c:tx>
            <c:strRef>
              <c:f>'Active 2'!$O$20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</c:v>
                </c:pt>
                <c:pt idx="4">
                  <c:v>33</c:v>
                </c:pt>
                <c:pt idx="5">
                  <c:v>397.5</c:v>
                </c:pt>
              </c:numCache>
            </c:numRef>
          </c:xVal>
          <c:yVal>
            <c:numRef>
              <c:f>'Active 2'!$O$21:$O$920</c:f>
              <c:numCache>
                <c:formatCode>General</c:formatCode>
                <c:ptCount val="900"/>
                <c:pt idx="0">
                  <c:v>8.6405238332794981E-4</c:v>
                </c:pt>
                <c:pt idx="1">
                  <c:v>1.5501955872666089E-3</c:v>
                </c:pt>
                <c:pt idx="2">
                  <c:v>1.5501955872666089E-3</c:v>
                </c:pt>
                <c:pt idx="3">
                  <c:v>1.7789099885794951E-3</c:v>
                </c:pt>
                <c:pt idx="4">
                  <c:v>1.5959202869978449E-2</c:v>
                </c:pt>
                <c:pt idx="5">
                  <c:v>0.18269200142707262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C-4B3E-92EF-745C4ECB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74992"/>
        <c:axId val="1"/>
      </c:scatterChart>
      <c:valAx>
        <c:axId val="91487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38297291840598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74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40584194127499"/>
          <c:y val="0.92215694595061837"/>
          <c:w val="0.33056176709720014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Prim. O-C Diagr.</a:t>
            </a:r>
          </a:p>
        </c:rich>
      </c:tx>
      <c:layout>
        <c:manualLayout>
          <c:xMode val="edge"/>
          <c:yMode val="edge"/>
          <c:x val="0.2349274531951697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79436029508053"/>
          <c:y val="0.14371278494688106"/>
          <c:w val="0.77546856267517483"/>
          <c:h val="0.63772548320178468"/>
        </c:manualLayout>
      </c:layout>
      <c:scatterChart>
        <c:scatterStyle val="lineMarker"/>
        <c:varyColors val="0"/>
        <c:ser>
          <c:idx val="6"/>
          <c:order val="0"/>
          <c:tx>
            <c:strRef>
              <c:f>B!$R$20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B!$D$21:$D$32</c:f>
                <c:numCache>
                  <c:formatCode>General</c:formatCode>
                  <c:ptCount val="12"/>
                  <c:pt idx="0">
                    <c:v>2.0000000000000001E-4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2.1000000000000001E-4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B!$R$21:$R$920</c:f>
              <c:numCache>
                <c:formatCode>General</c:formatCode>
                <c:ptCount val="900"/>
                <c:pt idx="0">
                  <c:v>0</c:v>
                </c:pt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D-49A8-B0E9-F8DAD946EFAB}"/>
            </c:ext>
          </c:extLst>
        </c:ser>
        <c:ser>
          <c:idx val="7"/>
          <c:order val="1"/>
          <c:tx>
            <c:strRef>
              <c:f>B!$O$20</c:f>
              <c:strCache>
                <c:ptCount val="1"/>
                <c:pt idx="0">
                  <c:v>Primary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B!$O$21:$O$920</c:f>
              <c:numCache>
                <c:formatCode>General</c:formatCode>
                <c:ptCount val="900"/>
                <c:pt idx="0">
                  <c:v>9.8670684623756305E-4</c:v>
                </c:pt>
                <c:pt idx="1">
                  <c:v>1.672354828055456E-3</c:v>
                </c:pt>
                <c:pt idx="2">
                  <c:v>1.672354828055456E-3</c:v>
                </c:pt>
                <c:pt idx="3">
                  <c:v>1.9009041553280871E-3</c:v>
                </c:pt>
                <c:pt idx="4">
                  <c:v>1.6070962446231209E-2</c:v>
                </c:pt>
                <c:pt idx="5">
                  <c:v>0.18268342202797921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D-49A8-B0E9-F8DAD946E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16032"/>
        <c:axId val="1"/>
      </c:scatterChart>
      <c:valAx>
        <c:axId val="91491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38297291840598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1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540584194127499"/>
          <c:y val="0.92215694595061837"/>
          <c:w val="0.73596760903847513"/>
          <c:h val="0.982037185471576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4267-0588 - O-C Diagr.</a:t>
            </a:r>
          </a:p>
        </c:rich>
      </c:tx>
      <c:layout>
        <c:manualLayout>
          <c:xMode val="edge"/>
          <c:yMode val="edge"/>
          <c:x val="0.3290322580645161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414456686540114"/>
          <c:w val="0.8241935483870968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plus>
            <c:minus>
              <c:numRef>
                <c:f>B!$C$21:$C$493</c:f>
                <c:numCache>
                  <c:formatCode>General</c:formatCode>
                  <c:ptCount val="473"/>
                  <c:pt idx="0">
                    <c:v>56210.642200000002</c:v>
                  </c:pt>
                  <c:pt idx="1">
                    <c:v>56214.593467748251</c:v>
                  </c:pt>
                  <c:pt idx="2">
                    <c:v>56214.59359979022</c:v>
                  </c:pt>
                  <c:pt idx="3">
                    <c:v>56215.910300000003</c:v>
                  </c:pt>
                  <c:pt idx="4">
                    <c:v>56297.547460000002</c:v>
                  </c:pt>
                  <c:pt idx="5">
                    <c:v>57257.439030000001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B!$H$21:$H$920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C-4171-9C78-2C1334B41AE0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Calvin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B!$I$21:$I$920</c:f>
              <c:numCache>
                <c:formatCode>General</c:formatCode>
                <c:ptCount val="900"/>
                <c:pt idx="1">
                  <c:v>1.7802482470870018E-3</c:v>
                </c:pt>
                <c:pt idx="2">
                  <c:v>1.9122902158414945E-3</c:v>
                </c:pt>
                <c:pt idx="3">
                  <c:v>2.1166666701901704E-3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C-4171-9C78-2C1334B41AE0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Lubke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B!$J$21:$J$920</c:f>
              <c:numCache>
                <c:formatCode>General</c:formatCode>
                <c:ptCount val="900"/>
                <c:pt idx="4">
                  <c:v>1.6535000002477318E-2</c:v>
                </c:pt>
                <c:pt idx="5">
                  <c:v>0.18264249999629101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C-4171-9C78-2C1334B41AE0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C-4171-9C78-2C1334B41AE0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8C-4171-9C78-2C1334B41AE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8C-4171-9C78-2C1334B41AE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B!$F$21:$F$920</c:f>
              <c:numCache>
                <c:formatCode>General</c:formatCode>
                <c:ptCount val="90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66</c:v>
                </c:pt>
                <c:pt idx="5">
                  <c:v>795</c:v>
                </c:pt>
              </c:numCache>
            </c:numRef>
          </c:xVal>
          <c:yVal>
            <c:numRef>
              <c:f>B!$N$21:$N$920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8C-4171-9C78-2C1334B4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22512"/>
        <c:axId val="1"/>
      </c:scatterChart>
      <c:valAx>
        <c:axId val="91492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4516129032258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22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77419354838708"/>
          <c:y val="0.92192475940507435"/>
          <c:w val="0.76129032258064511"/>
          <c:h val="0.981985134741040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85725</xdr:colOff>
      <xdr:row>18</xdr:row>
      <xdr:rowOff>28575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905A00A4-659F-A2E9-360D-BA375FA41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285750</xdr:colOff>
      <xdr:row>0</xdr:row>
      <xdr:rowOff>0</xdr:rowOff>
    </xdr:from>
    <xdr:to>
      <xdr:col>26</xdr:col>
      <xdr:colOff>228600</xdr:colOff>
      <xdr:row>18</xdr:row>
      <xdr:rowOff>9525</xdr:rowOff>
    </xdr:to>
    <xdr:graphicFrame macro="">
      <xdr:nvGraphicFramePr>
        <xdr:cNvPr id="1033" name="Chart 7">
          <a:extLst>
            <a:ext uri="{FF2B5EF4-FFF2-40B4-BE49-F238E27FC236}">
              <a16:creationId xmlns:a16="http://schemas.microsoft.com/office/drawing/2014/main" id="{C58D4243-2BE7-A2EE-9C5E-ED364B6C8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581025</xdr:colOff>
      <xdr:row>0</xdr:row>
      <xdr:rowOff>0</xdr:rowOff>
    </xdr:from>
    <xdr:to>
      <xdr:col>26</xdr:col>
      <xdr:colOff>314325</xdr:colOff>
      <xdr:row>18</xdr:row>
      <xdr:rowOff>47625</xdr:rowOff>
    </xdr:to>
    <xdr:graphicFrame macro="">
      <xdr:nvGraphicFramePr>
        <xdr:cNvPr id="56328" name="Chart 2">
          <a:extLst>
            <a:ext uri="{FF2B5EF4-FFF2-40B4-BE49-F238E27FC236}">
              <a16:creationId xmlns:a16="http://schemas.microsoft.com/office/drawing/2014/main" id="{3B4002AA-937C-AB39-AC6F-3D5CBAB25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0</xdr:row>
      <xdr:rowOff>19050</xdr:rowOff>
    </xdr:from>
    <xdr:to>
      <xdr:col>17</xdr:col>
      <xdr:colOff>180975</xdr:colOff>
      <xdr:row>18</xdr:row>
      <xdr:rowOff>0</xdr:rowOff>
    </xdr:to>
    <xdr:graphicFrame macro="">
      <xdr:nvGraphicFramePr>
        <xdr:cNvPr id="56330" name="Chart 4">
          <a:extLst>
            <a:ext uri="{FF2B5EF4-FFF2-40B4-BE49-F238E27FC236}">
              <a16:creationId xmlns:a16="http://schemas.microsoft.com/office/drawing/2014/main" id="{FEEA2939-860D-A09D-D4CD-68AD0005D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27</xdr:row>
      <xdr:rowOff>142875</xdr:rowOff>
    </xdr:from>
    <xdr:to>
      <xdr:col>15</xdr:col>
      <xdr:colOff>304800</xdr:colOff>
      <xdr:row>47</xdr:row>
      <xdr:rowOff>95250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DA4ED8D-B0DD-2835-993C-9C808425E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27</xdr:row>
      <xdr:rowOff>152400</xdr:rowOff>
    </xdr:from>
    <xdr:to>
      <xdr:col>24</xdr:col>
      <xdr:colOff>342900</xdr:colOff>
      <xdr:row>47</xdr:row>
      <xdr:rowOff>104775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94A1401-4C3C-13B4-E8D5-BAABD96C3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247650</xdr:colOff>
      <xdr:row>29</xdr:row>
      <xdr:rowOff>9525</xdr:rowOff>
    </xdr:from>
    <xdr:to>
      <xdr:col>37</xdr:col>
      <xdr:colOff>561975</xdr:colOff>
      <xdr:row>48</xdr:row>
      <xdr:rowOff>114300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C5663A7-CAA1-6E83-6407-F6BD3D76F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304800</xdr:colOff>
      <xdr:row>27</xdr:row>
      <xdr:rowOff>76200</xdr:rowOff>
    </xdr:from>
    <xdr:to>
      <xdr:col>35</xdr:col>
      <xdr:colOff>85725</xdr:colOff>
      <xdr:row>47</xdr:row>
      <xdr:rowOff>19050</xdr:rowOff>
    </xdr:to>
    <xdr:graphicFrame macro="">
      <xdr:nvGraphicFramePr>
        <xdr:cNvPr id="62471" name="Chart 1">
          <a:extLst>
            <a:ext uri="{FF2B5EF4-FFF2-40B4-BE49-F238E27FC236}">
              <a16:creationId xmlns:a16="http://schemas.microsoft.com/office/drawing/2014/main" id="{9015A446-0B50-E31D-3D22-7B17CD894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285750</xdr:colOff>
      <xdr:row>0</xdr:row>
      <xdr:rowOff>38100</xdr:rowOff>
    </xdr:from>
    <xdr:to>
      <xdr:col>26</xdr:col>
      <xdr:colOff>19050</xdr:colOff>
      <xdr:row>18</xdr:row>
      <xdr:rowOff>85725</xdr:rowOff>
    </xdr:to>
    <xdr:graphicFrame macro="">
      <xdr:nvGraphicFramePr>
        <xdr:cNvPr id="62472" name="Chart 2">
          <a:extLst>
            <a:ext uri="{FF2B5EF4-FFF2-40B4-BE49-F238E27FC236}">
              <a16:creationId xmlns:a16="http://schemas.microsoft.com/office/drawing/2014/main" id="{D05A8921-D2A1-A82C-7DB4-2C1C5F7CB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647700</xdr:colOff>
      <xdr:row>0</xdr:row>
      <xdr:rowOff>123825</xdr:rowOff>
    </xdr:from>
    <xdr:to>
      <xdr:col>32</xdr:col>
      <xdr:colOff>514350</xdr:colOff>
      <xdr:row>18</xdr:row>
      <xdr:rowOff>171450</xdr:rowOff>
    </xdr:to>
    <xdr:graphicFrame macro="">
      <xdr:nvGraphicFramePr>
        <xdr:cNvPr id="62473" name="Chart 3">
          <a:extLst>
            <a:ext uri="{FF2B5EF4-FFF2-40B4-BE49-F238E27FC236}">
              <a16:creationId xmlns:a16="http://schemas.microsoft.com/office/drawing/2014/main" id="{CE5F1AFE-09D7-560A-C257-945BB9E97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16</xdr:col>
      <xdr:colOff>190500</xdr:colOff>
      <xdr:row>17</xdr:row>
      <xdr:rowOff>57150</xdr:rowOff>
    </xdr:to>
    <xdr:graphicFrame macro="">
      <xdr:nvGraphicFramePr>
        <xdr:cNvPr id="62474" name="Chart 4">
          <a:extLst>
            <a:ext uri="{FF2B5EF4-FFF2-40B4-BE49-F238E27FC236}">
              <a16:creationId xmlns:a16="http://schemas.microsoft.com/office/drawing/2014/main" id="{224FBA4F-22A5-8D05-564D-EA906A590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95250</xdr:colOff>
      <xdr:row>30</xdr:row>
      <xdr:rowOff>104775</xdr:rowOff>
    </xdr:from>
    <xdr:to>
      <xdr:col>19</xdr:col>
      <xdr:colOff>466725</xdr:colOff>
      <xdr:row>50</xdr:row>
      <xdr:rowOff>57150</xdr:rowOff>
    </xdr:to>
    <xdr:graphicFrame macro="">
      <xdr:nvGraphicFramePr>
        <xdr:cNvPr id="62475" name="Chart 5">
          <a:extLst>
            <a:ext uri="{FF2B5EF4-FFF2-40B4-BE49-F238E27FC236}">
              <a16:creationId xmlns:a16="http://schemas.microsoft.com/office/drawing/2014/main" id="{2F76BE5A-1942-788C-AD5B-F85CB0744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47625</xdr:colOff>
      <xdr:row>19</xdr:row>
      <xdr:rowOff>66675</xdr:rowOff>
    </xdr:from>
    <xdr:to>
      <xdr:col>27</xdr:col>
      <xdr:colOff>428625</xdr:colOff>
      <xdr:row>38</xdr:row>
      <xdr:rowOff>9525</xdr:rowOff>
    </xdr:to>
    <xdr:graphicFrame macro="">
      <xdr:nvGraphicFramePr>
        <xdr:cNvPr id="62476" name="Chart 6">
          <a:extLst>
            <a:ext uri="{FF2B5EF4-FFF2-40B4-BE49-F238E27FC236}">
              <a16:creationId xmlns:a16="http://schemas.microsoft.com/office/drawing/2014/main" id="{4DFB0F00-2EC2-1E6F-7F31-0A39E8F3A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U35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2.7109375" customWidth="1"/>
    <col min="4" max="4" width="8.28515625" customWidth="1"/>
    <col min="5" max="5" width="15.85546875" customWidth="1"/>
    <col min="6" max="6" width="16.42578125" customWidth="1"/>
    <col min="7" max="7" width="9" customWidth="1"/>
    <col min="8" max="8" width="11" customWidth="1"/>
    <col min="9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38</v>
      </c>
      <c r="D1" s="36" t="s">
        <v>39</v>
      </c>
      <c r="E1" s="37">
        <v>63.191800000000001</v>
      </c>
      <c r="F1" t="s">
        <v>40</v>
      </c>
    </row>
    <row r="2" spans="1:7" x14ac:dyDescent="0.2">
      <c r="A2" t="s">
        <v>16</v>
      </c>
      <c r="B2" t="s">
        <v>41</v>
      </c>
      <c r="C2" t="s">
        <v>42</v>
      </c>
      <c r="D2" s="36" t="s">
        <v>39</v>
      </c>
      <c r="E2" s="37">
        <f>E1/24</f>
        <v>2.6329916666666668</v>
      </c>
      <c r="F2" t="s">
        <v>43</v>
      </c>
    </row>
    <row r="3" spans="1:7" ht="16.5" thickBot="1" x14ac:dyDescent="0.3">
      <c r="A3" s="38" t="s">
        <v>75</v>
      </c>
      <c r="C3" s="38"/>
    </row>
    <row r="4" spans="1:7" ht="14.25" thickTop="1" thickBot="1" x14ac:dyDescent="0.25">
      <c r="A4" s="6" t="s">
        <v>0</v>
      </c>
      <c r="C4" s="39" t="s">
        <v>52</v>
      </c>
      <c r="D4" s="40" t="s">
        <v>52</v>
      </c>
    </row>
    <row r="5" spans="1:7" ht="13.5" thickTop="1" x14ac:dyDescent="0.2"/>
    <row r="6" spans="1:7" x14ac:dyDescent="0.2">
      <c r="A6" s="6" t="s">
        <v>1</v>
      </c>
      <c r="C6" s="50" t="s">
        <v>63</v>
      </c>
    </row>
    <row r="7" spans="1:7" x14ac:dyDescent="0.2">
      <c r="A7" t="s">
        <v>2</v>
      </c>
      <c r="C7" s="36">
        <v>56210.642200000002</v>
      </c>
    </row>
    <row r="8" spans="1:7" x14ac:dyDescent="0.2">
      <c r="A8" t="s">
        <v>3</v>
      </c>
      <c r="C8" s="61">
        <v>2.6329916666666668</v>
      </c>
      <c r="D8" s="20" t="s">
        <v>46</v>
      </c>
    </row>
    <row r="9" spans="1:7" x14ac:dyDescent="0.2">
      <c r="A9" s="29" t="s">
        <v>30</v>
      </c>
      <c r="B9" s="23"/>
      <c r="C9" s="30">
        <v>-9.5</v>
      </c>
      <c r="D9" s="23" t="s">
        <v>31</v>
      </c>
    </row>
    <row r="10" spans="1:7" ht="13.5" thickBot="1" x14ac:dyDescent="0.25">
      <c r="A10" s="23"/>
      <c r="B10" s="23"/>
      <c r="C10" s="5" t="s">
        <v>64</v>
      </c>
      <c r="D10" s="5" t="s">
        <v>65</v>
      </c>
      <c r="E10" s="23"/>
    </row>
    <row r="11" spans="1:7" x14ac:dyDescent="0.2">
      <c r="A11" s="23" t="s">
        <v>13</v>
      </c>
      <c r="B11" s="23"/>
      <c r="C11" s="24">
        <f ca="1">INTERCEPT(INDIRECT($G$11):G992,INDIRECT($F$11):F992)</f>
        <v>1.2458247085553528E-3</v>
      </c>
      <c r="D11" s="13"/>
      <c r="E11" s="23"/>
      <c r="F11" s="52" t="str">
        <f>"F"&amp;E19</f>
        <v>F22</v>
      </c>
      <c r="G11" s="32" t="str">
        <f>"G"&amp;E19</f>
        <v>G22</v>
      </c>
    </row>
    <row r="12" spans="1:7" x14ac:dyDescent="0.2">
      <c r="A12" s="23" t="s">
        <v>14</v>
      </c>
      <c r="B12" s="23"/>
      <c r="C12" s="24">
        <f ca="1">SLOPE(INDIRECT($G$11):G992,INDIRECT($F$11):F992)</f>
        <v>4.5638939515295118E-4</v>
      </c>
      <c r="D12" s="13"/>
      <c r="E12" s="23"/>
    </row>
    <row r="13" spans="1:7" x14ac:dyDescent="0.2">
      <c r="A13" s="23" t="s">
        <v>66</v>
      </c>
      <c r="B13" s="23"/>
      <c r="C13" s="13" t="s">
        <v>67</v>
      </c>
      <c r="D13" s="21" t="s">
        <v>33</v>
      </c>
      <c r="E13" s="30">
        <v>1</v>
      </c>
    </row>
    <row r="14" spans="1:7" x14ac:dyDescent="0.2">
      <c r="A14" s="23"/>
      <c r="B14" s="23"/>
      <c r="C14" s="23"/>
      <c r="D14" s="21" t="s">
        <v>34</v>
      </c>
      <c r="E14" s="31">
        <f ca="1">NOW()+15018.5+$C$9/24</f>
        <v>60332.683823495368</v>
      </c>
    </row>
    <row r="15" spans="1:7" x14ac:dyDescent="0.2">
      <c r="A15" s="25" t="s">
        <v>15</v>
      </c>
      <c r="B15" s="23"/>
      <c r="C15" s="26">
        <f ca="1">(C7+C11)+(C8+C12)*INT(MAX(F21:F3533))</f>
        <v>57256.122324081254</v>
      </c>
      <c r="D15" s="21" t="s">
        <v>35</v>
      </c>
      <c r="E15" s="31">
        <f ca="1">ROUND(2*(E14-$C$7)/$C$8,0)/2+E13</f>
        <v>1566.5</v>
      </c>
    </row>
    <row r="16" spans="1:7" x14ac:dyDescent="0.2">
      <c r="A16" s="27" t="s">
        <v>4</v>
      </c>
      <c r="B16" s="23"/>
      <c r="C16" s="28">
        <f ca="1">+C8+C12</f>
        <v>2.6334480560618196</v>
      </c>
      <c r="D16" s="21" t="s">
        <v>36</v>
      </c>
      <c r="E16" s="32">
        <f ca="1">ROUND(2*(E14-$C$15)/$C$16,0)/2+E13</f>
        <v>1169.5</v>
      </c>
    </row>
    <row r="17" spans="1:21" ht="13.5" thickBot="1" x14ac:dyDescent="0.25">
      <c r="A17" s="21" t="s">
        <v>68</v>
      </c>
      <c r="B17" s="23"/>
      <c r="C17" s="23">
        <f>COUNT(C21:C2191)</f>
        <v>6</v>
      </c>
      <c r="D17" s="21" t="s">
        <v>37</v>
      </c>
      <c r="E17" s="33">
        <f ca="1">+$C$15+$C$16*E16-15018.5-$C$9/24</f>
        <v>45317.835658978889</v>
      </c>
    </row>
    <row r="18" spans="1:21" ht="14.25" thickTop="1" thickBot="1" x14ac:dyDescent="0.25">
      <c r="A18" s="27" t="s">
        <v>69</v>
      </c>
      <c r="B18" s="23"/>
      <c r="C18" s="53">
        <f ca="1">+C15</f>
        <v>57256.122324081254</v>
      </c>
      <c r="D18" s="54">
        <f ca="1">+C16</f>
        <v>2.6334480560618196</v>
      </c>
      <c r="E18" s="34" t="s">
        <v>32</v>
      </c>
    </row>
    <row r="19" spans="1:21" ht="13.5" thickTop="1" x14ac:dyDescent="0.2">
      <c r="A19" s="55" t="s">
        <v>70</v>
      </c>
      <c r="E19" s="56">
        <v>22</v>
      </c>
    </row>
    <row r="20" spans="1:21" ht="13.5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49</v>
      </c>
      <c r="I20" s="8" t="s">
        <v>50</v>
      </c>
      <c r="J20" s="8" t="s">
        <v>51</v>
      </c>
      <c r="K20" s="8" t="s">
        <v>78</v>
      </c>
      <c r="L20" s="8" t="s">
        <v>25</v>
      </c>
      <c r="M20" s="8" t="s">
        <v>17</v>
      </c>
      <c r="N20" s="8" t="s">
        <v>20</v>
      </c>
      <c r="O20" s="8" t="s">
        <v>71</v>
      </c>
      <c r="P20" s="7" t="s">
        <v>72</v>
      </c>
      <c r="Q20" s="5" t="s">
        <v>12</v>
      </c>
      <c r="U20" s="57" t="s">
        <v>73</v>
      </c>
    </row>
    <row r="21" spans="1:21" x14ac:dyDescent="0.2">
      <c r="A21" s="6" t="s">
        <v>76</v>
      </c>
      <c r="B21" s="13" t="s">
        <v>59</v>
      </c>
      <c r="C21" s="37">
        <v>56210.642200000002</v>
      </c>
      <c r="D21" s="14">
        <v>2.0000000000000001E-4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1.2458247085553528E-3</v>
      </c>
      <c r="Q21" s="2">
        <f t="shared" ref="Q21:Q26" si="4">+C21-15018.5</f>
        <v>41192.142200000002</v>
      </c>
    </row>
    <row r="22" spans="1:21" x14ac:dyDescent="0.2">
      <c r="A22" t="s">
        <v>62</v>
      </c>
      <c r="B22" s="13" t="s">
        <v>59</v>
      </c>
      <c r="C22" s="14">
        <v>56214.593467748251</v>
      </c>
      <c r="D22" s="14">
        <v>5.0000000000000001E-4</v>
      </c>
      <c r="E22">
        <f t="shared" si="0"/>
        <v>1.5006761313647421</v>
      </c>
      <c r="F22">
        <f t="shared" si="1"/>
        <v>1.5</v>
      </c>
      <c r="G22">
        <f t="shared" si="2"/>
        <v>1.7802482470870018E-3</v>
      </c>
      <c r="I22">
        <f>+G22</f>
        <v>1.7802482470870018E-3</v>
      </c>
      <c r="O22">
        <f t="shared" ca="1" si="3"/>
        <v>1.9304088012847796E-3</v>
      </c>
      <c r="Q22" s="2">
        <f t="shared" si="4"/>
        <v>41196.093467748251</v>
      </c>
    </row>
    <row r="23" spans="1:21" x14ac:dyDescent="0.2">
      <c r="A23" t="s">
        <v>61</v>
      </c>
      <c r="B23" s="13" t="s">
        <v>60</v>
      </c>
      <c r="C23" s="14">
        <v>56214.59359979022</v>
      </c>
      <c r="D23" s="14">
        <v>2.9999999999999997E-4</v>
      </c>
      <c r="E23">
        <f t="shared" si="0"/>
        <v>1.5007262803911998</v>
      </c>
      <c r="F23">
        <f t="shared" si="1"/>
        <v>1.5</v>
      </c>
      <c r="G23">
        <f t="shared" si="2"/>
        <v>1.9122902158414945E-3</v>
      </c>
      <c r="I23">
        <f>+G23</f>
        <v>1.9122902158414945E-3</v>
      </c>
      <c r="O23">
        <f t="shared" ca="1" si="3"/>
        <v>1.9304088012847796E-3</v>
      </c>
      <c r="Q23" s="2">
        <f t="shared" si="4"/>
        <v>41196.09359979022</v>
      </c>
    </row>
    <row r="24" spans="1:21" x14ac:dyDescent="0.2">
      <c r="A24" t="s">
        <v>74</v>
      </c>
      <c r="B24" s="13"/>
      <c r="C24" s="11">
        <v>56215.910300000003</v>
      </c>
      <c r="D24" s="14">
        <v>4.0000000000000002E-4</v>
      </c>
      <c r="E24">
        <f t="shared" si="0"/>
        <v>2.0008039017724983</v>
      </c>
      <c r="F24">
        <f t="shared" si="1"/>
        <v>2</v>
      </c>
      <c r="G24">
        <f t="shared" si="2"/>
        <v>2.1166666701901704E-3</v>
      </c>
      <c r="I24">
        <f>+G24</f>
        <v>2.1166666701901704E-3</v>
      </c>
      <c r="O24">
        <f t="shared" ca="1" si="3"/>
        <v>2.1586034988612551E-3</v>
      </c>
      <c r="Q24" s="2">
        <f t="shared" si="4"/>
        <v>41197.410300000003</v>
      </c>
    </row>
    <row r="25" spans="1:21" x14ac:dyDescent="0.2">
      <c r="A25" t="s">
        <v>48</v>
      </c>
      <c r="B25" s="13" t="s">
        <v>59</v>
      </c>
      <c r="C25" s="14">
        <v>56297.547460000002</v>
      </c>
      <c r="D25" s="14">
        <v>2.1000000000000001E-4</v>
      </c>
      <c r="E25">
        <f t="shared" si="0"/>
        <v>33.006279928724751</v>
      </c>
      <c r="F25">
        <f t="shared" si="1"/>
        <v>33</v>
      </c>
      <c r="G25">
        <f t="shared" si="2"/>
        <v>1.6535000002477318E-2</v>
      </c>
      <c r="J25">
        <f>+G25</f>
        <v>1.6535000002477318E-2</v>
      </c>
      <c r="O25">
        <f t="shared" ca="1" si="3"/>
        <v>1.6306674748602742E-2</v>
      </c>
      <c r="Q25" s="2">
        <f t="shared" si="4"/>
        <v>41279.047460000002</v>
      </c>
    </row>
    <row r="26" spans="1:21" x14ac:dyDescent="0.2">
      <c r="A26" s="58" t="s">
        <v>77</v>
      </c>
      <c r="B26" s="59" t="s">
        <v>59</v>
      </c>
      <c r="C26" s="60">
        <v>57257.439030000001</v>
      </c>
      <c r="D26" s="60">
        <v>2.0000000000000001E-4</v>
      </c>
      <c r="E26">
        <f t="shared" si="0"/>
        <v>397.56936691152936</v>
      </c>
      <c r="F26">
        <f t="shared" si="1"/>
        <v>397.5</v>
      </c>
      <c r="G26">
        <f t="shared" si="2"/>
        <v>0.18264249999629101</v>
      </c>
      <c r="J26">
        <f>+G26</f>
        <v>0.18264249999629101</v>
      </c>
      <c r="O26">
        <f t="shared" ca="1" si="3"/>
        <v>0.18266060928185346</v>
      </c>
      <c r="Q26" s="2">
        <f t="shared" si="4"/>
        <v>42238.939030000001</v>
      </c>
    </row>
    <row r="27" spans="1:21" x14ac:dyDescent="0.2">
      <c r="A27" s="10"/>
      <c r="B27" s="10"/>
      <c r="C27" s="11"/>
      <c r="D27" s="11"/>
      <c r="Q27" s="2"/>
    </row>
    <row r="28" spans="1:21" x14ac:dyDescent="0.2">
      <c r="A28" s="10"/>
      <c r="B28" s="10"/>
      <c r="C28" s="11"/>
      <c r="D28" s="11"/>
      <c r="Q28" s="2"/>
    </row>
    <row r="29" spans="1:21" x14ac:dyDescent="0.2">
      <c r="A29" s="15"/>
      <c r="B29" s="16"/>
      <c r="C29" s="17"/>
      <c r="D29" s="17"/>
      <c r="Q29" s="2"/>
    </row>
    <row r="30" spans="1:21" x14ac:dyDescent="0.2">
      <c r="A30" s="12"/>
      <c r="B30" s="13"/>
      <c r="C30" s="11"/>
      <c r="D30" s="14"/>
      <c r="Q30" s="2"/>
    </row>
    <row r="31" spans="1:21" x14ac:dyDescent="0.2">
      <c r="A31" s="15"/>
      <c r="B31" s="18"/>
      <c r="C31" s="11"/>
      <c r="D31" s="11"/>
      <c r="Q31" s="2"/>
    </row>
    <row r="32" spans="1:21" x14ac:dyDescent="0.2">
      <c r="A32" s="15"/>
      <c r="B32" s="18"/>
      <c r="C32" s="11"/>
      <c r="D32" s="11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  <row r="35" spans="1:17" x14ac:dyDescent="0.2">
      <c r="A35" s="19"/>
      <c r="B35" s="13"/>
      <c r="C35" s="11"/>
      <c r="D35" s="14"/>
      <c r="Q35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4"/>
  <sheetViews>
    <sheetView workbookViewId="0">
      <selection activeCell="L20" sqref="L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42578125" customWidth="1"/>
    <col min="7" max="7" width="9" customWidth="1"/>
    <col min="8" max="8" width="11" customWidth="1"/>
    <col min="9" max="14" width="8.5703125" customWidth="1"/>
    <col min="15" max="15" width="11" customWidth="1"/>
    <col min="16" max="16" width="7.7109375" customWidth="1"/>
    <col min="17" max="17" width="9.85546875" customWidth="1"/>
  </cols>
  <sheetData>
    <row r="1" spans="1:8" ht="20.25" x14ac:dyDescent="0.3">
      <c r="A1" s="1" t="s">
        <v>38</v>
      </c>
      <c r="D1" s="36" t="s">
        <v>39</v>
      </c>
      <c r="E1" s="37">
        <v>63.191800000000001</v>
      </c>
      <c r="F1" s="14">
        <v>1E-4</v>
      </c>
      <c r="G1" t="s">
        <v>40</v>
      </c>
    </row>
    <row r="2" spans="1:8" x14ac:dyDescent="0.2">
      <c r="A2" t="s">
        <v>16</v>
      </c>
      <c r="B2" t="s">
        <v>41</v>
      </c>
      <c r="C2" t="s">
        <v>42</v>
      </c>
      <c r="D2" s="36" t="s">
        <v>39</v>
      </c>
      <c r="E2" s="37">
        <f>E1/24</f>
        <v>2.6329916666666668</v>
      </c>
      <c r="F2" s="14">
        <f>F1/E1*E2</f>
        <v>4.1666666666666669E-6</v>
      </c>
      <c r="G2" t="s">
        <v>43</v>
      </c>
    </row>
    <row r="3" spans="1:8" ht="16.5" thickBot="1" x14ac:dyDescent="0.3">
      <c r="A3" s="38" t="s">
        <v>44</v>
      </c>
      <c r="B3" s="38" t="s">
        <v>45</v>
      </c>
      <c r="C3" s="38"/>
      <c r="F3">
        <v>1.3164958333333301</v>
      </c>
    </row>
    <row r="4" spans="1:8" ht="14.25" thickTop="1" thickBot="1" x14ac:dyDescent="0.25">
      <c r="A4" s="6" t="s">
        <v>0</v>
      </c>
      <c r="C4" s="39" t="s">
        <v>52</v>
      </c>
      <c r="D4" s="40" t="s">
        <v>52</v>
      </c>
    </row>
    <row r="5" spans="1:8" ht="13.5" thickTop="1" x14ac:dyDescent="0.2">
      <c r="A5" s="29" t="s">
        <v>30</v>
      </c>
      <c r="B5" s="23"/>
      <c r="C5" s="30">
        <v>8</v>
      </c>
      <c r="D5" s="23" t="s">
        <v>31</v>
      </c>
    </row>
    <row r="6" spans="1:8" ht="13.5" thickBot="1" x14ac:dyDescent="0.25">
      <c r="A6" s="6" t="s">
        <v>1</v>
      </c>
      <c r="C6" s="50" t="s">
        <v>63</v>
      </c>
    </row>
    <row r="7" spans="1:8" x14ac:dyDescent="0.2">
      <c r="A7" t="s">
        <v>2</v>
      </c>
      <c r="C7" s="14">
        <v>56210.642200000002</v>
      </c>
      <c r="F7" s="41" t="s">
        <v>53</v>
      </c>
      <c r="G7" s="42">
        <f>(I23-I22)/C8</f>
        <v>5.0149026457670531E-5</v>
      </c>
      <c r="H7" s="43" t="s">
        <v>54</v>
      </c>
    </row>
    <row r="8" spans="1:8" x14ac:dyDescent="0.2">
      <c r="A8" t="s">
        <v>3</v>
      </c>
      <c r="C8" s="51">
        <v>2.6329916666666668</v>
      </c>
      <c r="D8" s="20" t="s">
        <v>46</v>
      </c>
      <c r="F8" s="44" t="s">
        <v>57</v>
      </c>
      <c r="G8" s="45">
        <f>24*G7</f>
        <v>1.2035766349840927E-3</v>
      </c>
      <c r="H8" s="46" t="s">
        <v>55</v>
      </c>
    </row>
    <row r="9" spans="1:8" ht="13.5" thickBot="1" x14ac:dyDescent="0.25">
      <c r="A9" s="21" t="s">
        <v>27</v>
      </c>
      <c r="B9" s="21"/>
      <c r="C9" s="22">
        <v>21</v>
      </c>
      <c r="D9" s="22">
        <v>21</v>
      </c>
      <c r="F9" s="47" t="s">
        <v>56</v>
      </c>
      <c r="G9" s="48">
        <f>0.5-G7</f>
        <v>0.49994985097354233</v>
      </c>
      <c r="H9" s="49"/>
    </row>
    <row r="10" spans="1:8" ht="13.5" thickBot="1" x14ac:dyDescent="0.25">
      <c r="A10" s="23"/>
      <c r="B10" s="23"/>
      <c r="C10" s="5" t="s">
        <v>18</v>
      </c>
      <c r="D10" s="5" t="s">
        <v>19</v>
      </c>
    </row>
    <row r="11" spans="1:8" x14ac:dyDescent="0.2">
      <c r="A11" s="23" t="s">
        <v>13</v>
      </c>
      <c r="B11" s="23"/>
      <c r="C11" s="24">
        <f ca="1">INTERCEPT(INDIRECT(C14):R$934,INDIRECT(C13):$F$934)</f>
        <v>8.6405238332794981E-4</v>
      </c>
      <c r="D11" s="24" t="e">
        <f ca="1">INTERCEPT(INDIRECT(D14):S$934,INDIRECT(D13):$F$934)</f>
        <v>#DIV/0!</v>
      </c>
      <c r="E11" s="21" t="s">
        <v>33</v>
      </c>
      <c r="F11">
        <v>1</v>
      </c>
    </row>
    <row r="12" spans="1:8" x14ac:dyDescent="0.2">
      <c r="A12" s="23" t="s">
        <v>14</v>
      </c>
      <c r="B12" s="23"/>
      <c r="C12" s="24">
        <f ca="1">SLOPE(INDIRECT(C14):R$934,INDIRECT(C13):$F$934)</f>
        <v>4.5742880262577271E-4</v>
      </c>
      <c r="D12" s="24" t="e">
        <f ca="1">SLOPE(INDIRECT(D14):S$934,INDIRECT(D13):$F$934)</f>
        <v>#DIV/0!</v>
      </c>
      <c r="E12" s="21" t="s">
        <v>34</v>
      </c>
      <c r="F12" s="31">
        <f ca="1">NOW()+15018.5+$C$5/24</f>
        <v>60333.41299016204</v>
      </c>
    </row>
    <row r="13" spans="1:8" x14ac:dyDescent="0.2">
      <c r="A13" s="21" t="s">
        <v>28</v>
      </c>
      <c r="B13" s="21"/>
      <c r="C13" s="22" t="str">
        <f>"F"&amp;C9</f>
        <v>F21</v>
      </c>
      <c r="D13" s="22" t="str">
        <f>"F"&amp;D9</f>
        <v>F21</v>
      </c>
      <c r="E13" s="21" t="s">
        <v>35</v>
      </c>
      <c r="F13" s="31">
        <f ca="1">ROUND(2*(F12-$C$7)/$C$8,0)/2+F11</f>
        <v>1567</v>
      </c>
    </row>
    <row r="14" spans="1:8" x14ac:dyDescent="0.2">
      <c r="A14" s="21" t="s">
        <v>29</v>
      </c>
      <c r="B14" s="21"/>
      <c r="C14" s="22" t="str">
        <f>"R"&amp;C9</f>
        <v>R21</v>
      </c>
      <c r="D14" s="22" t="str">
        <f>"S"&amp;D9</f>
        <v>S21</v>
      </c>
      <c r="E14" s="21" t="s">
        <v>36</v>
      </c>
      <c r="F14" s="32">
        <f ca="1">ROUND(2*(F12-$C$15)/$C$16,0)/2+F11</f>
        <v>1169.5</v>
      </c>
    </row>
    <row r="15" spans="1:8" x14ac:dyDescent="0.2">
      <c r="A15" s="25" t="s">
        <v>15</v>
      </c>
      <c r="B15" s="23"/>
      <c r="C15" s="26">
        <f ca="1">($C7+C11)+($C8+C12)*INT(MAX($F21:$F3532))</f>
        <v>57256.122354953695</v>
      </c>
      <c r="D15" s="26" t="e">
        <f ca="1">($C7+D11)+($C8+D12)*INT(MAX($F21:$F3532))</f>
        <v>#DIV/0!</v>
      </c>
      <c r="E15" s="21" t="s">
        <v>37</v>
      </c>
      <c r="F15" s="33">
        <f ca="1">+$C$15+$C$16*F14-15018.5-$C$5/24</f>
        <v>45317.107738771694</v>
      </c>
    </row>
    <row r="16" spans="1:8" x14ac:dyDescent="0.2">
      <c r="A16" s="27" t="s">
        <v>4</v>
      </c>
      <c r="B16" s="23"/>
      <c r="C16" s="28">
        <f ca="1">+$C8+C12</f>
        <v>2.6334490954692926</v>
      </c>
      <c r="D16" s="24" t="e">
        <f ca="1">+$C8+D12</f>
        <v>#DIV/0!</v>
      </c>
      <c r="E16" s="34"/>
      <c r="F16" s="34" t="s">
        <v>32</v>
      </c>
    </row>
    <row r="17" spans="1:21" ht="13.5" thickBot="1" x14ac:dyDescent="0.25">
      <c r="A17" s="20" t="s">
        <v>26</v>
      </c>
      <c r="C17">
        <f>COUNT(C21:C1246)</f>
        <v>6</v>
      </c>
    </row>
    <row r="18" spans="1:21" ht="14.25" thickTop="1" thickBot="1" x14ac:dyDescent="0.25">
      <c r="A18" s="6" t="s">
        <v>21</v>
      </c>
      <c r="C18" s="3">
        <f ca="1">+C15</f>
        <v>57256.122354953695</v>
      </c>
      <c r="D18" s="4">
        <f ca="1">+C16</f>
        <v>2.6334490954692926</v>
      </c>
      <c r="E18" s="35">
        <f>R19</f>
        <v>4</v>
      </c>
    </row>
    <row r="19" spans="1:21" ht="14.25" thickTop="1" thickBot="1" x14ac:dyDescent="0.25">
      <c r="A19" s="6" t="s">
        <v>22</v>
      </c>
      <c r="C19" s="3" t="e">
        <f ca="1">+D15</f>
        <v>#DIV/0!</v>
      </c>
      <c r="D19" s="4" t="e">
        <f ca="1">+D16</f>
        <v>#DIV/0!</v>
      </c>
      <c r="E19" s="35">
        <f>S19</f>
        <v>2</v>
      </c>
      <c r="R19">
        <f>COUNT(R21:R321)</f>
        <v>4</v>
      </c>
      <c r="S19">
        <f>COUNT(S21:S321)</f>
        <v>2</v>
      </c>
    </row>
    <row r="20" spans="1:21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49</v>
      </c>
      <c r="I20" s="8" t="s">
        <v>50</v>
      </c>
      <c r="J20" s="8" t="s">
        <v>51</v>
      </c>
      <c r="K20" s="8" t="s">
        <v>78</v>
      </c>
      <c r="L20" s="8" t="s">
        <v>25</v>
      </c>
      <c r="M20" s="8" t="s">
        <v>17</v>
      </c>
      <c r="N20" s="8" t="s">
        <v>20</v>
      </c>
      <c r="O20" s="8" t="s">
        <v>58</v>
      </c>
      <c r="P20" s="7" t="s">
        <v>23</v>
      </c>
      <c r="Q20" s="5" t="s">
        <v>12</v>
      </c>
      <c r="R20" s="9" t="s">
        <v>18</v>
      </c>
      <c r="S20" s="9" t="s">
        <v>19</v>
      </c>
    </row>
    <row r="21" spans="1:21" x14ac:dyDescent="0.2">
      <c r="A21" s="6" t="s">
        <v>47</v>
      </c>
      <c r="B21" s="13" t="s">
        <v>59</v>
      </c>
      <c r="C21" s="37">
        <v>56210.642200000002</v>
      </c>
      <c r="D21" s="14">
        <v>2.0000000000000001E-4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P25" ca="1" si="3">+C$11+C$12*$F21</f>
        <v>8.6405238332794981E-4</v>
      </c>
      <c r="P21" t="e">
        <f t="shared" ca="1" si="3"/>
        <v>#DIV/0!</v>
      </c>
      <c r="Q21" s="2">
        <f t="shared" ref="Q21:Q26" si="4">+C21-15018.5</f>
        <v>41192.142200000002</v>
      </c>
      <c r="R21">
        <f>G21</f>
        <v>0</v>
      </c>
    </row>
    <row r="22" spans="1:21" x14ac:dyDescent="0.2">
      <c r="A22" t="s">
        <v>62</v>
      </c>
      <c r="B22" s="13" t="s">
        <v>59</v>
      </c>
      <c r="C22" s="14">
        <v>56214.593467748251</v>
      </c>
      <c r="D22" s="14">
        <v>5.0000000000000001E-4</v>
      </c>
      <c r="E22">
        <f t="shared" si="0"/>
        <v>1.5006761313647421</v>
      </c>
      <c r="F22">
        <f t="shared" si="1"/>
        <v>1.5</v>
      </c>
      <c r="G22">
        <f t="shared" si="2"/>
        <v>1.7802482470870018E-3</v>
      </c>
      <c r="I22">
        <f>G22</f>
        <v>1.7802482470870018E-3</v>
      </c>
      <c r="O22">
        <f t="shared" ca="1" si="3"/>
        <v>1.5501955872666089E-3</v>
      </c>
      <c r="Q22" s="2">
        <f t="shared" si="4"/>
        <v>41196.093467748251</v>
      </c>
      <c r="S22">
        <f>G22</f>
        <v>1.7802482470870018E-3</v>
      </c>
      <c r="U22">
        <f>G22/C8+0.5</f>
        <v>0.5006761313640391</v>
      </c>
    </row>
    <row r="23" spans="1:21" x14ac:dyDescent="0.2">
      <c r="A23" t="s">
        <v>61</v>
      </c>
      <c r="B23" s="13" t="s">
        <v>60</v>
      </c>
      <c r="C23" s="14">
        <v>56214.59359979022</v>
      </c>
      <c r="D23" s="14">
        <v>2.9999999999999997E-4</v>
      </c>
      <c r="E23">
        <f t="shared" si="0"/>
        <v>1.5007262803911998</v>
      </c>
      <c r="F23">
        <f t="shared" si="1"/>
        <v>1.5</v>
      </c>
      <c r="G23">
        <f t="shared" si="2"/>
        <v>1.9122902158414945E-3</v>
      </c>
      <c r="I23">
        <f>G23</f>
        <v>1.9122902158414945E-3</v>
      </c>
      <c r="O23">
        <f t="shared" ca="1" si="3"/>
        <v>1.5501955872666089E-3</v>
      </c>
      <c r="Q23" s="2">
        <f t="shared" si="4"/>
        <v>41196.09359979022</v>
      </c>
      <c r="S23">
        <f>G23</f>
        <v>1.9122902158414945E-3</v>
      </c>
    </row>
    <row r="24" spans="1:21" x14ac:dyDescent="0.2">
      <c r="A24" t="s">
        <v>74</v>
      </c>
      <c r="B24" s="13"/>
      <c r="C24" s="11">
        <v>56215.910300000003</v>
      </c>
      <c r="D24" s="14">
        <v>4.0000000000000002E-4</v>
      </c>
      <c r="E24">
        <f t="shared" si="0"/>
        <v>2.0008039017724983</v>
      </c>
      <c r="F24">
        <f t="shared" si="1"/>
        <v>2</v>
      </c>
      <c r="G24">
        <f t="shared" si="2"/>
        <v>2.1166666701901704E-3</v>
      </c>
      <c r="I24">
        <f>G24</f>
        <v>2.1166666701901704E-3</v>
      </c>
      <c r="O24">
        <f t="shared" ca="1" si="3"/>
        <v>1.7789099885794951E-3</v>
      </c>
      <c r="Q24" s="2">
        <f t="shared" si="4"/>
        <v>41197.410300000003</v>
      </c>
      <c r="R24">
        <f>G24</f>
        <v>2.1166666701901704E-3</v>
      </c>
    </row>
    <row r="25" spans="1:21" x14ac:dyDescent="0.2">
      <c r="A25" t="s">
        <v>48</v>
      </c>
      <c r="B25" s="13" t="s">
        <v>59</v>
      </c>
      <c r="C25" s="14">
        <v>56297.547460000002</v>
      </c>
      <c r="D25" s="14">
        <v>2.1000000000000001E-4</v>
      </c>
      <c r="E25">
        <f t="shared" si="0"/>
        <v>33.006279928724751</v>
      </c>
      <c r="F25">
        <f t="shared" si="1"/>
        <v>33</v>
      </c>
      <c r="G25">
        <f t="shared" si="2"/>
        <v>1.6535000002477318E-2</v>
      </c>
      <c r="J25">
        <f>+G25</f>
        <v>1.6535000002477318E-2</v>
      </c>
      <c r="O25">
        <f t="shared" ca="1" si="3"/>
        <v>1.5959202869978449E-2</v>
      </c>
      <c r="Q25" s="2">
        <f t="shared" si="4"/>
        <v>41279.047460000002</v>
      </c>
      <c r="R25">
        <f>G25</f>
        <v>1.6535000002477318E-2</v>
      </c>
    </row>
    <row r="26" spans="1:21" x14ac:dyDescent="0.2">
      <c r="A26" s="58" t="s">
        <v>77</v>
      </c>
      <c r="B26" s="59" t="s">
        <v>59</v>
      </c>
      <c r="C26" s="60">
        <v>57257.439030000001</v>
      </c>
      <c r="D26" s="60">
        <v>2.0000000000000001E-4</v>
      </c>
      <c r="E26">
        <f t="shared" si="0"/>
        <v>397.56936691152936</v>
      </c>
      <c r="F26">
        <f t="shared" si="1"/>
        <v>397.5</v>
      </c>
      <c r="G26">
        <f t="shared" si="2"/>
        <v>0.18264249999629101</v>
      </c>
      <c r="J26">
        <f>+G26</f>
        <v>0.18264249999629101</v>
      </c>
      <c r="O26">
        <f ca="1">+C$11+C$12*$F26</f>
        <v>0.18269200142707262</v>
      </c>
      <c r="Q26" s="2">
        <f t="shared" si="4"/>
        <v>42238.939030000001</v>
      </c>
      <c r="R26">
        <v>0.18264249999629101</v>
      </c>
    </row>
    <row r="27" spans="1:21" x14ac:dyDescent="0.2">
      <c r="A27" s="10"/>
      <c r="B27" s="10"/>
      <c r="C27" s="11"/>
      <c r="D27" s="11"/>
      <c r="Q27" s="2"/>
    </row>
    <row r="28" spans="1:21" x14ac:dyDescent="0.2">
      <c r="A28" s="15"/>
      <c r="B28" s="16"/>
      <c r="C28" s="17"/>
      <c r="D28" s="17"/>
      <c r="Q28" s="2"/>
    </row>
    <row r="29" spans="1:21" x14ac:dyDescent="0.2">
      <c r="A29" s="12"/>
      <c r="B29" s="13"/>
      <c r="C29" s="11"/>
      <c r="D29" s="14"/>
      <c r="Q29" s="2"/>
    </row>
    <row r="30" spans="1:21" x14ac:dyDescent="0.2">
      <c r="A30" s="15"/>
      <c r="B30" s="18"/>
      <c r="C30" s="11"/>
      <c r="D30" s="11"/>
      <c r="Q30" s="2"/>
    </row>
    <row r="31" spans="1:21" x14ac:dyDescent="0.2">
      <c r="A31" s="15"/>
      <c r="B31" s="18"/>
      <c r="C31" s="11"/>
      <c r="D31" s="11"/>
      <c r="Q31" s="2"/>
    </row>
    <row r="32" spans="1:21" x14ac:dyDescent="0.2">
      <c r="A32" s="19"/>
      <c r="B32" s="13"/>
      <c r="C32" s="11"/>
      <c r="D32" s="14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4"/>
  <sheetViews>
    <sheetView workbookViewId="0">
      <selection activeCell="R26" sqref="R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42578125" customWidth="1"/>
    <col min="7" max="7" width="9" customWidth="1"/>
    <col min="8" max="8" width="11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  <c r="D1" s="36" t="s">
        <v>39</v>
      </c>
      <c r="E1" s="37">
        <v>63.191800000000001</v>
      </c>
      <c r="F1" s="14">
        <v>1E-4</v>
      </c>
      <c r="G1" t="s">
        <v>40</v>
      </c>
    </row>
    <row r="2" spans="1:7" x14ac:dyDescent="0.2">
      <c r="A2" t="s">
        <v>16</v>
      </c>
      <c r="B2" t="s">
        <v>41</v>
      </c>
      <c r="C2" t="s">
        <v>42</v>
      </c>
      <c r="D2" s="36" t="s">
        <v>39</v>
      </c>
      <c r="E2" s="37">
        <f>E1/24</f>
        <v>2.6329916666666668</v>
      </c>
      <c r="F2" s="14">
        <f>F1/E1*E2</f>
        <v>4.1666666666666669E-6</v>
      </c>
      <c r="G2" t="s">
        <v>43</v>
      </c>
    </row>
    <row r="3" spans="1:7" ht="16.5" thickBot="1" x14ac:dyDescent="0.3">
      <c r="A3" s="38" t="s">
        <v>44</v>
      </c>
      <c r="B3" s="38" t="s">
        <v>45</v>
      </c>
      <c r="C3" s="38"/>
      <c r="F3">
        <v>1.3164958333333301</v>
      </c>
    </row>
    <row r="4" spans="1:7" ht="14.25" thickTop="1" thickBot="1" x14ac:dyDescent="0.25">
      <c r="A4" s="6" t="s">
        <v>0</v>
      </c>
      <c r="C4" s="39" t="s">
        <v>52</v>
      </c>
      <c r="D4" s="40" t="s">
        <v>52</v>
      </c>
    </row>
    <row r="5" spans="1:7" ht="13.5" thickTop="1" x14ac:dyDescent="0.2">
      <c r="A5" s="29" t="s">
        <v>30</v>
      </c>
      <c r="B5" s="23"/>
      <c r="C5" s="30">
        <v>8</v>
      </c>
      <c r="D5" s="23" t="s">
        <v>31</v>
      </c>
    </row>
    <row r="6" spans="1:7" x14ac:dyDescent="0.2">
      <c r="A6" s="6" t="s">
        <v>1</v>
      </c>
    </row>
    <row r="7" spans="1:7" x14ac:dyDescent="0.2">
      <c r="A7" t="s">
        <v>2</v>
      </c>
      <c r="C7" s="14">
        <v>56210.642200000002</v>
      </c>
    </row>
    <row r="8" spans="1:7" x14ac:dyDescent="0.2">
      <c r="A8" t="s">
        <v>3</v>
      </c>
      <c r="C8" s="14">
        <f>E2/2</f>
        <v>1.3164958333333334</v>
      </c>
      <c r="D8" s="20" t="s">
        <v>46</v>
      </c>
    </row>
    <row r="9" spans="1:7" x14ac:dyDescent="0.2">
      <c r="A9" s="21" t="s">
        <v>27</v>
      </c>
      <c r="B9" s="21"/>
      <c r="C9" s="22">
        <v>21</v>
      </c>
      <c r="D9" s="22">
        <v>21</v>
      </c>
    </row>
    <row r="10" spans="1:7" ht="13.5" thickBot="1" x14ac:dyDescent="0.25">
      <c r="A10" s="23"/>
      <c r="B10" s="23"/>
      <c r="C10" s="5" t="s">
        <v>18</v>
      </c>
      <c r="D10" s="5" t="s">
        <v>19</v>
      </c>
    </row>
    <row r="11" spans="1:7" x14ac:dyDescent="0.2">
      <c r="A11" s="23" t="s">
        <v>13</v>
      </c>
      <c r="B11" s="23"/>
      <c r="C11" s="24">
        <f ca="1">INTERCEPT(INDIRECT(C14):R$934,INDIRECT(C13):$F$934)</f>
        <v>9.8670684623756305E-4</v>
      </c>
      <c r="D11" s="24" t="e">
        <f ca="1">INTERCEPT(INDIRECT(D14):S$934,INDIRECT(D13):$F$934)</f>
        <v>#DIV/0!</v>
      </c>
      <c r="E11" s="21" t="s">
        <v>33</v>
      </c>
      <c r="F11">
        <v>1</v>
      </c>
    </row>
    <row r="12" spans="1:7" x14ac:dyDescent="0.2">
      <c r="A12" s="23" t="s">
        <v>14</v>
      </c>
      <c r="B12" s="23"/>
      <c r="C12" s="24">
        <f ca="1">SLOPE(INDIRECT(C14):R$934,INDIRECT(C13):$F$934)</f>
        <v>2.2854932727263102E-4</v>
      </c>
      <c r="D12" s="24" t="e">
        <f ca="1">SLOPE(INDIRECT(D14):S$934,INDIRECT(D13):$F$934)</f>
        <v>#DIV/0!</v>
      </c>
      <c r="E12" s="21" t="s">
        <v>34</v>
      </c>
      <c r="F12" s="31">
        <f ca="1">NOW()+15018.5+$C$5/24</f>
        <v>60333.41299016204</v>
      </c>
    </row>
    <row r="13" spans="1:7" x14ac:dyDescent="0.2">
      <c r="A13" s="21" t="s">
        <v>28</v>
      </c>
      <c r="B13" s="21"/>
      <c r="C13" s="22" t="str">
        <f>"F"&amp;C9</f>
        <v>F21</v>
      </c>
      <c r="D13" s="22" t="str">
        <f>"F"&amp;D9</f>
        <v>F21</v>
      </c>
      <c r="E13" s="21" t="s">
        <v>35</v>
      </c>
      <c r="F13" s="31">
        <f ca="1">ROUND(2*(F12-$C$7)/$C$8,0)/2+F11</f>
        <v>3132.5</v>
      </c>
    </row>
    <row r="14" spans="1:7" x14ac:dyDescent="0.2">
      <c r="A14" s="21" t="s">
        <v>29</v>
      </c>
      <c r="B14" s="21"/>
      <c r="C14" s="22" t="str">
        <f>"R"&amp;C9</f>
        <v>R21</v>
      </c>
      <c r="D14" s="22" t="str">
        <f>"S"&amp;D9</f>
        <v>S21</v>
      </c>
      <c r="E14" s="21" t="s">
        <v>36</v>
      </c>
      <c r="F14" s="32">
        <f ca="1">ROUND(2*(F12-$C$15)/$C$16,0)/2+F11</f>
        <v>2337</v>
      </c>
    </row>
    <row r="15" spans="1:7" x14ac:dyDescent="0.2">
      <c r="A15" s="25" t="s">
        <v>15</v>
      </c>
      <c r="B15" s="23"/>
      <c r="C15" s="26">
        <f ca="1">($C7+C11)+($C8+C12)*INT(MAX($F21:$F3532))</f>
        <v>57257.439070922024</v>
      </c>
      <c r="D15" s="26" t="e">
        <f ca="1">($C7+D11)+($C8+D12)*INT(MAX($F21:$F3532))</f>
        <v>#DIV/0!</v>
      </c>
      <c r="E15" s="21" t="s">
        <v>37</v>
      </c>
      <c r="F15" s="33">
        <f ca="1">+$C$15+$C$16*F14-15018.5-$C$5/24</f>
        <v>45315.790619866522</v>
      </c>
    </row>
    <row r="16" spans="1:7" x14ac:dyDescent="0.2">
      <c r="A16" s="27" t="s">
        <v>4</v>
      </c>
      <c r="B16" s="23"/>
      <c r="C16" s="28">
        <f ca="1">+$C8+C12</f>
        <v>1.3167243826606061</v>
      </c>
      <c r="D16" s="24" t="e">
        <f ca="1">+$C8+D12</f>
        <v>#DIV/0!</v>
      </c>
      <c r="E16" s="34"/>
      <c r="F16" s="34" t="s">
        <v>32</v>
      </c>
    </row>
    <row r="17" spans="1:21" ht="13.5" thickBot="1" x14ac:dyDescent="0.25">
      <c r="A17" s="20" t="s">
        <v>26</v>
      </c>
      <c r="C17">
        <f>COUNT(C21:C1246)</f>
        <v>6</v>
      </c>
    </row>
    <row r="18" spans="1:21" ht="14.25" thickTop="1" thickBot="1" x14ac:dyDescent="0.25">
      <c r="A18" s="6" t="s">
        <v>21</v>
      </c>
      <c r="C18" s="3">
        <f ca="1">+C15</f>
        <v>57257.439070922024</v>
      </c>
      <c r="D18" s="4">
        <f ca="1">+C16</f>
        <v>1.3167243826606061</v>
      </c>
      <c r="E18" s="35">
        <f>R19</f>
        <v>6</v>
      </c>
    </row>
    <row r="19" spans="1:21" ht="14.25" thickTop="1" thickBot="1" x14ac:dyDescent="0.25">
      <c r="A19" s="6" t="s">
        <v>22</v>
      </c>
      <c r="C19" s="3" t="e">
        <f ca="1">+D15</f>
        <v>#DIV/0!</v>
      </c>
      <c r="D19" s="4" t="e">
        <f ca="1">+D16</f>
        <v>#DIV/0!</v>
      </c>
      <c r="E19" s="35">
        <f>S19</f>
        <v>0</v>
      </c>
      <c r="R19">
        <f>COUNT(R21:R321)</f>
        <v>6</v>
      </c>
      <c r="S19">
        <f>COUNT(S21:S321)</f>
        <v>0</v>
      </c>
    </row>
    <row r="20" spans="1:21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49</v>
      </c>
      <c r="I20" s="8" t="s">
        <v>50</v>
      </c>
      <c r="J20" s="8" t="s">
        <v>51</v>
      </c>
      <c r="K20" s="8" t="s">
        <v>24</v>
      </c>
      <c r="L20" s="8" t="s">
        <v>25</v>
      </c>
      <c r="M20" s="8" t="s">
        <v>17</v>
      </c>
      <c r="N20" s="8" t="s">
        <v>20</v>
      </c>
      <c r="O20" s="8" t="s">
        <v>58</v>
      </c>
      <c r="P20" s="7" t="s">
        <v>23</v>
      </c>
      <c r="Q20" s="5" t="s">
        <v>12</v>
      </c>
      <c r="R20" s="9" t="s">
        <v>18</v>
      </c>
      <c r="S20" s="9" t="s">
        <v>19</v>
      </c>
    </row>
    <row r="21" spans="1:21" x14ac:dyDescent="0.2">
      <c r="A21" s="6" t="s">
        <v>47</v>
      </c>
      <c r="B21" s="13" t="s">
        <v>59</v>
      </c>
      <c r="C21" s="37">
        <v>56210.642200000002</v>
      </c>
      <c r="D21" s="14">
        <v>2.0000000000000001E-4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ca="1">+C$11+C$12*$F21</f>
        <v>9.8670684623756305E-4</v>
      </c>
      <c r="P21" t="e">
        <f ca="1">+D$11+D$12*$F21</f>
        <v>#DIV/0!</v>
      </c>
      <c r="Q21" s="2">
        <f t="shared" ref="Q21:Q26" si="3">+C21-15018.5</f>
        <v>41192.142200000002</v>
      </c>
      <c r="R21">
        <f>G21</f>
        <v>0</v>
      </c>
    </row>
    <row r="22" spans="1:21" x14ac:dyDescent="0.2">
      <c r="A22" t="s">
        <v>62</v>
      </c>
      <c r="B22" s="13" t="s">
        <v>59</v>
      </c>
      <c r="C22" s="14">
        <v>56214.593467748251</v>
      </c>
      <c r="D22" s="14">
        <v>5.0000000000000001E-4</v>
      </c>
      <c r="E22">
        <f t="shared" si="0"/>
        <v>3.0013522627294842</v>
      </c>
      <c r="F22">
        <f t="shared" si="1"/>
        <v>3</v>
      </c>
      <c r="G22">
        <f t="shared" si="2"/>
        <v>1.7802482470870018E-3</v>
      </c>
      <c r="I22">
        <f>G22</f>
        <v>1.7802482470870018E-3</v>
      </c>
      <c r="O22">
        <f ca="1">+C$11+C$12*$F22</f>
        <v>1.672354828055456E-3</v>
      </c>
      <c r="Q22" s="2">
        <f t="shared" si="3"/>
        <v>41196.093467748251</v>
      </c>
      <c r="R22">
        <f>G22</f>
        <v>1.7802482470870018E-3</v>
      </c>
      <c r="U22">
        <f>G22/C8+0.5</f>
        <v>0.50135226272807831</v>
      </c>
    </row>
    <row r="23" spans="1:21" x14ac:dyDescent="0.2">
      <c r="A23" t="s">
        <v>61</v>
      </c>
      <c r="B23" s="13" t="s">
        <v>60</v>
      </c>
      <c r="C23" s="14">
        <v>56214.59359979022</v>
      </c>
      <c r="D23" s="14">
        <v>2.9999999999999997E-4</v>
      </c>
      <c r="E23">
        <f t="shared" si="0"/>
        <v>3.0014525607823996</v>
      </c>
      <c r="F23">
        <f t="shared" si="1"/>
        <v>3</v>
      </c>
      <c r="G23">
        <f t="shared" si="2"/>
        <v>1.9122902158414945E-3</v>
      </c>
      <c r="I23">
        <f>G23</f>
        <v>1.9122902158414945E-3</v>
      </c>
      <c r="O23">
        <f ca="1">+C$11+C$12*$F23</f>
        <v>1.672354828055456E-3</v>
      </c>
      <c r="Q23" s="2">
        <f t="shared" si="3"/>
        <v>41196.09359979022</v>
      </c>
      <c r="R23">
        <f>G23</f>
        <v>1.9122902158414945E-3</v>
      </c>
    </row>
    <row r="24" spans="1:21" x14ac:dyDescent="0.2">
      <c r="A24" t="s">
        <v>74</v>
      </c>
      <c r="B24" s="13"/>
      <c r="C24" s="11">
        <v>56215.910300000003</v>
      </c>
      <c r="D24" s="14">
        <v>4.0000000000000002E-4</v>
      </c>
      <c r="E24">
        <f t="shared" si="0"/>
        <v>4.0016078035449967</v>
      </c>
      <c r="F24">
        <f t="shared" si="1"/>
        <v>4</v>
      </c>
      <c r="G24">
        <f t="shared" si="2"/>
        <v>2.1166666701901704E-3</v>
      </c>
      <c r="I24">
        <f>G24</f>
        <v>2.1166666701901704E-3</v>
      </c>
      <c r="O24">
        <f ca="1">+C$11+C$12*$F24</f>
        <v>1.9009041553280871E-3</v>
      </c>
      <c r="Q24" s="2">
        <f t="shared" si="3"/>
        <v>41197.410300000003</v>
      </c>
      <c r="R24">
        <f>G24</f>
        <v>2.1166666701901704E-3</v>
      </c>
    </row>
    <row r="25" spans="1:21" x14ac:dyDescent="0.2">
      <c r="A25" t="s">
        <v>48</v>
      </c>
      <c r="B25" s="13" t="s">
        <v>59</v>
      </c>
      <c r="C25" s="14">
        <v>56297.547460000002</v>
      </c>
      <c r="D25" s="14">
        <v>2.1000000000000001E-4</v>
      </c>
      <c r="E25">
        <f t="shared" si="0"/>
        <v>66.012559857449503</v>
      </c>
      <c r="F25">
        <f t="shared" si="1"/>
        <v>66</v>
      </c>
      <c r="G25">
        <f t="shared" si="2"/>
        <v>1.6535000002477318E-2</v>
      </c>
      <c r="J25">
        <f>+G25</f>
        <v>1.6535000002477318E-2</v>
      </c>
      <c r="O25">
        <f ca="1">+C$11+C$12*$F25</f>
        <v>1.6070962446231209E-2</v>
      </c>
      <c r="Q25" s="2">
        <f t="shared" si="3"/>
        <v>41279.047460000002</v>
      </c>
      <c r="R25">
        <f>G25</f>
        <v>1.6535000002477318E-2</v>
      </c>
    </row>
    <row r="26" spans="1:21" x14ac:dyDescent="0.2">
      <c r="A26" s="58" t="s">
        <v>77</v>
      </c>
      <c r="B26" s="59" t="s">
        <v>59</v>
      </c>
      <c r="C26" s="60">
        <v>57257.439030000001</v>
      </c>
      <c r="D26" s="60">
        <v>2.0000000000000001E-4</v>
      </c>
      <c r="E26">
        <f t="shared" si="0"/>
        <v>795.13873382305871</v>
      </c>
      <c r="F26">
        <f t="shared" si="1"/>
        <v>795</v>
      </c>
      <c r="G26">
        <f t="shared" si="2"/>
        <v>0.18264249999629101</v>
      </c>
      <c r="J26">
        <f>+G26</f>
        <v>0.18264249999629101</v>
      </c>
      <c r="O26">
        <f ca="1">+C$11+C$12*$F26</f>
        <v>0.18268342202797921</v>
      </c>
      <c r="Q26" s="2">
        <f t="shared" si="3"/>
        <v>42238.939030000001</v>
      </c>
      <c r="R26">
        <v>0.18264249999629101</v>
      </c>
    </row>
    <row r="27" spans="1:21" x14ac:dyDescent="0.2">
      <c r="A27" s="10"/>
      <c r="B27" s="10"/>
      <c r="C27" s="11"/>
      <c r="D27" s="11"/>
      <c r="Q27" s="2"/>
    </row>
    <row r="28" spans="1:21" x14ac:dyDescent="0.2">
      <c r="A28" s="15"/>
      <c r="B28" s="16"/>
      <c r="C28" s="17"/>
      <c r="D28" s="17"/>
      <c r="Q28" s="2"/>
    </row>
    <row r="29" spans="1:21" x14ac:dyDescent="0.2">
      <c r="A29" s="12"/>
      <c r="B29" s="13"/>
      <c r="C29" s="11"/>
      <c r="D29" s="14"/>
      <c r="Q29" s="2"/>
    </row>
    <row r="30" spans="1:21" x14ac:dyDescent="0.2">
      <c r="A30" s="15"/>
      <c r="B30" s="18"/>
      <c r="C30" s="11"/>
      <c r="D30" s="11"/>
      <c r="Q30" s="2"/>
    </row>
    <row r="31" spans="1:21" x14ac:dyDescent="0.2">
      <c r="A31" s="15"/>
      <c r="B31" s="18"/>
      <c r="C31" s="11"/>
      <c r="D31" s="11"/>
      <c r="Q31" s="2"/>
    </row>
    <row r="32" spans="1:21" x14ac:dyDescent="0.2">
      <c r="A32" s="19"/>
      <c r="B32" s="13"/>
      <c r="C32" s="11"/>
      <c r="D32" s="14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Graphs 2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2024-01-23T03:24:42Z</dcterms:modified>
</cp:coreProperties>
</file>