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FCA8E83-73EB-44C8-A2B8-C60145362FA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5" i="1" l="1"/>
  <c r="D9" i="1"/>
  <c r="C9" i="1"/>
  <c r="Q33" i="1"/>
  <c r="Q34" i="1"/>
  <c r="Q35" i="1"/>
  <c r="Q36" i="1"/>
  <c r="Q37" i="1"/>
  <c r="Q40" i="1"/>
  <c r="Q43" i="1"/>
  <c r="Q51" i="1"/>
  <c r="G27" i="2"/>
  <c r="C27" i="2"/>
  <c r="G26" i="2"/>
  <c r="C26" i="2"/>
  <c r="G25" i="2"/>
  <c r="C25" i="2"/>
  <c r="G35" i="2"/>
  <c r="C3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34" i="2"/>
  <c r="C34" i="2"/>
  <c r="G17" i="2"/>
  <c r="C17" i="2"/>
  <c r="G16" i="2"/>
  <c r="C16" i="2"/>
  <c r="G33" i="2"/>
  <c r="C33" i="2"/>
  <c r="G32" i="2"/>
  <c r="C32" i="2"/>
  <c r="G31" i="2"/>
  <c r="C31" i="2"/>
  <c r="G30" i="2"/>
  <c r="C30" i="2"/>
  <c r="G29" i="2"/>
  <c r="C29" i="2"/>
  <c r="G28" i="2"/>
  <c r="C28" i="2"/>
  <c r="G15" i="2"/>
  <c r="C15" i="2"/>
  <c r="G14" i="2"/>
  <c r="C14" i="2"/>
  <c r="G13" i="2"/>
  <c r="C13" i="2"/>
  <c r="G12" i="2"/>
  <c r="C12" i="2"/>
  <c r="G11" i="2"/>
  <c r="C11" i="2"/>
  <c r="H27" i="2"/>
  <c r="B27" i="2"/>
  <c r="D27" i="2"/>
  <c r="A27" i="2"/>
  <c r="H26" i="2"/>
  <c r="B26" i="2"/>
  <c r="D26" i="2"/>
  <c r="A26" i="2"/>
  <c r="H25" i="2"/>
  <c r="B25" i="2"/>
  <c r="D25" i="2"/>
  <c r="A25" i="2"/>
  <c r="H35" i="2"/>
  <c r="B35" i="2"/>
  <c r="D35" i="2"/>
  <c r="A3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34" i="2"/>
  <c r="B34" i="2"/>
  <c r="D34" i="2"/>
  <c r="A34" i="2"/>
  <c r="H17" i="2"/>
  <c r="B17" i="2"/>
  <c r="D17" i="2"/>
  <c r="A17" i="2"/>
  <c r="H16" i="2"/>
  <c r="B16" i="2"/>
  <c r="D16" i="2"/>
  <c r="A16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52" i="1"/>
  <c r="Q54" i="1"/>
  <c r="Q53" i="1"/>
  <c r="Q22" i="1"/>
  <c r="Q23" i="1"/>
  <c r="Q24" i="1"/>
  <c r="Q25" i="1"/>
  <c r="Q47" i="1"/>
  <c r="Q48" i="1"/>
  <c r="Q49" i="1"/>
  <c r="Q50" i="1"/>
  <c r="F16" i="1"/>
  <c r="F17" i="1" s="1"/>
  <c r="C17" i="1"/>
  <c r="Q46" i="1"/>
  <c r="Q44" i="1"/>
  <c r="Q45" i="1"/>
  <c r="Q42" i="1"/>
  <c r="Q26" i="1"/>
  <c r="Q27" i="1"/>
  <c r="Q30" i="1"/>
  <c r="Q31" i="1"/>
  <c r="Q32" i="1"/>
  <c r="Q38" i="1"/>
  <c r="Q39" i="1"/>
  <c r="Q41" i="1"/>
  <c r="Q28" i="1"/>
  <c r="Q29" i="1"/>
  <c r="C7" i="1"/>
  <c r="E55" i="1"/>
  <c r="F55" i="1"/>
  <c r="C8" i="1"/>
  <c r="Q21" i="1"/>
  <c r="E23" i="2"/>
  <c r="E34" i="2"/>
  <c r="E24" i="2"/>
  <c r="E18" i="2"/>
  <c r="E35" i="2"/>
  <c r="E33" i="2"/>
  <c r="E20" i="2"/>
  <c r="E17" i="2"/>
  <c r="E26" i="1"/>
  <c r="F26" i="1"/>
  <c r="G26" i="1"/>
  <c r="K26" i="1"/>
  <c r="E50" i="1"/>
  <c r="F50" i="1"/>
  <c r="G44" i="1"/>
  <c r="K44" i="1"/>
  <c r="E41" i="1"/>
  <c r="F41" i="1"/>
  <c r="E35" i="1"/>
  <c r="F35" i="1"/>
  <c r="G25" i="1"/>
  <c r="K25" i="1"/>
  <c r="E23" i="1"/>
  <c r="F23" i="1"/>
  <c r="G23" i="1"/>
  <c r="K23" i="1"/>
  <c r="E25" i="1"/>
  <c r="F25" i="1"/>
  <c r="E47" i="1"/>
  <c r="F47" i="1"/>
  <c r="G47" i="1"/>
  <c r="K47" i="1"/>
  <c r="E32" i="1"/>
  <c r="F32" i="1"/>
  <c r="E51" i="1"/>
  <c r="F51" i="1"/>
  <c r="G34" i="1"/>
  <c r="I34" i="1"/>
  <c r="E52" i="1"/>
  <c r="F52" i="1"/>
  <c r="G52" i="1"/>
  <c r="K52" i="1"/>
  <c r="E44" i="1"/>
  <c r="F44" i="1"/>
  <c r="G43" i="1"/>
  <c r="K43" i="1"/>
  <c r="E37" i="1"/>
  <c r="F37" i="1"/>
  <c r="G37" i="1"/>
  <c r="I37" i="1"/>
  <c r="E21" i="1"/>
  <c r="F21" i="1"/>
  <c r="G27" i="1"/>
  <c r="K27" i="1"/>
  <c r="E49" i="1"/>
  <c r="F49" i="1"/>
  <c r="G49" i="1"/>
  <c r="J49" i="1"/>
  <c r="G42" i="1"/>
  <c r="K42" i="1"/>
  <c r="E39" i="1"/>
  <c r="F39" i="1"/>
  <c r="G39" i="1"/>
  <c r="K39" i="1"/>
  <c r="E34" i="1"/>
  <c r="F34" i="1"/>
  <c r="E28" i="1"/>
  <c r="F28" i="1"/>
  <c r="G28" i="1"/>
  <c r="J28" i="1"/>
  <c r="E46" i="1"/>
  <c r="F46" i="1"/>
  <c r="G46" i="1"/>
  <c r="J46" i="1"/>
  <c r="G38" i="1"/>
  <c r="K38" i="1"/>
  <c r="E31" i="1"/>
  <c r="F31" i="1"/>
  <c r="G31" i="1"/>
  <c r="K31" i="1"/>
  <c r="E43" i="1"/>
  <c r="F43" i="1"/>
  <c r="E30" i="1"/>
  <c r="F30" i="1"/>
  <c r="G30" i="1"/>
  <c r="K30" i="1"/>
  <c r="E27" i="1"/>
  <c r="F27" i="1"/>
  <c r="E22" i="1"/>
  <c r="F22" i="1"/>
  <c r="E24" i="1"/>
  <c r="F24" i="1"/>
  <c r="G24" i="1"/>
  <c r="K24" i="1"/>
  <c r="E29" i="1"/>
  <c r="F29" i="1"/>
  <c r="E53" i="1"/>
  <c r="F53" i="1"/>
  <c r="G53" i="1"/>
  <c r="J53" i="1"/>
  <c r="G45" i="1"/>
  <c r="E42" i="1"/>
  <c r="F42" i="1"/>
  <c r="E36" i="1"/>
  <c r="F36" i="1"/>
  <c r="G36" i="1"/>
  <c r="I36" i="1"/>
  <c r="G33" i="1"/>
  <c r="I33" i="1"/>
  <c r="G55" i="1"/>
  <c r="K55" i="1"/>
  <c r="G50" i="1"/>
  <c r="J50" i="1"/>
  <c r="E48" i="1"/>
  <c r="F48" i="1"/>
  <c r="G48" i="1"/>
  <c r="K48" i="1"/>
  <c r="G41" i="1"/>
  <c r="K41" i="1"/>
  <c r="E38" i="1"/>
  <c r="F38" i="1"/>
  <c r="G35" i="1"/>
  <c r="I35" i="1"/>
  <c r="G29" i="1"/>
  <c r="J29" i="1"/>
  <c r="G22" i="1"/>
  <c r="K22" i="1"/>
  <c r="E54" i="1"/>
  <c r="F54" i="1"/>
  <c r="G54" i="1"/>
  <c r="K54" i="1"/>
  <c r="E45" i="1"/>
  <c r="F45" i="1"/>
  <c r="G32" i="1"/>
  <c r="K32" i="1"/>
  <c r="G51" i="1"/>
  <c r="K51" i="1"/>
  <c r="E40" i="1"/>
  <c r="F40" i="1"/>
  <c r="G40" i="1"/>
  <c r="I40" i="1"/>
  <c r="E33" i="1"/>
  <c r="F33" i="1"/>
  <c r="E22" i="2"/>
  <c r="E16" i="2"/>
  <c r="E32" i="2"/>
  <c r="E30" i="2"/>
  <c r="E13" i="2"/>
  <c r="E11" i="2"/>
  <c r="E14" i="2"/>
  <c r="E12" i="2"/>
  <c r="E15" i="2"/>
  <c r="E27" i="2"/>
  <c r="E31" i="2"/>
  <c r="E29" i="2"/>
  <c r="J45" i="1"/>
  <c r="E19" i="2"/>
  <c r="E26" i="2"/>
  <c r="E21" i="2"/>
  <c r="E25" i="2"/>
  <c r="E28" i="2"/>
  <c r="C11" i="1"/>
  <c r="C12" i="1"/>
  <c r="C16" i="1" l="1"/>
  <c r="D18" i="1" s="1"/>
  <c r="O44" i="1"/>
  <c r="O43" i="1"/>
  <c r="O50" i="1"/>
  <c r="O52" i="1"/>
  <c r="O45" i="1"/>
  <c r="C15" i="1"/>
  <c r="O48" i="1"/>
  <c r="O55" i="1"/>
  <c r="O51" i="1"/>
  <c r="O53" i="1"/>
  <c r="O49" i="1"/>
  <c r="O54" i="1"/>
  <c r="O47" i="1"/>
  <c r="O46" i="1"/>
  <c r="F18" i="1" l="1"/>
  <c r="F19" i="1" s="1"/>
  <c r="C18" i="1"/>
</calcChain>
</file>

<file path=xl/sharedStrings.xml><?xml version="1.0" encoding="utf-8"?>
<sst xmlns="http://schemas.openxmlformats.org/spreadsheetml/2006/main" count="352" uniqueCount="176">
  <si>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</si>
  <si>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</si>
  <si>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</si>
  <si>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</si>
  <si>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</si>
  <si>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</si>
  <si>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</si>
  <si>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</si>
  <si>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</si>
  <si>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</si>
  <si>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</si>
  <si>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</si>
  <si>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</si>
  <si>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</si>
  <si>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</si>
  <si>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</si>
  <si>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</si>
  <si>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</si>
  <si>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</si>
  <si>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</si>
  <si>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</si>
  <si>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</si>
  <si>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</si>
  <si>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</si>
  <si>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</si>
  <si>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</si>
  <si>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</si>
  <si>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</si>
  <si>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</si>
  <si>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Bull.112</t>
  </si>
  <si>
    <t>B</t>
  </si>
  <si>
    <t>IBVS 5287</t>
  </si>
  <si>
    <t>I</t>
  </si>
  <si>
    <t>IBVS 4829</t>
  </si>
  <si>
    <t>IBVS 5583</t>
  </si>
  <si>
    <t># of data points:</t>
  </si>
  <si>
    <t>LP Cep / GSC 04248-01323</t>
  </si>
  <si>
    <t>EA/SD</t>
  </si>
  <si>
    <t>IBVS 5731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</si>
  <si>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</si>
  <si>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</si>
  <si>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</si>
  <si>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</si>
  <si>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</si>
  <si>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</si>
  <si>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</si>
  <si>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</si>
  <si>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</si>
  <si>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</si>
  <si>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IBVS 4234</t>
  </si>
  <si>
    <t>II</t>
  </si>
  <si>
    <t>IBVS 6007</t>
  </si>
  <si>
    <t>IBVS 6010</t>
  </si>
  <si>
    <t>IBVS 6070</t>
  </si>
  <si>
    <t>IBVS 6114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</si>
  <si>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</si>
  <si>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</si>
  <si>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</si>
  <si>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</si>
  <si>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</si>
  <si>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</si>
  <si>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</si>
  <si>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</si>
  <si>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</si>
  <si>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</si>
  <si>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</si>
  <si>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2449617.9199 </t>
  </si>
  <si>
    <t> 22.09.1994 10:04 </t>
  </si>
  <si>
    <t> -0.0479 </t>
  </si>
  <si>
    <t>E </t>
  </si>
  <si>
    <t>?</t>
  </si>
  <si>
    <t> R.Samec et al. </t>
  </si>
  <si>
    <t>IBVS 4234 </t>
  </si>
  <si>
    <t>2449618.9597 </t>
  </si>
  <si>
    <t> 23.09.1994 11:01 </t>
  </si>
  <si>
    <t> -0.0477 </t>
  </si>
  <si>
    <t>2449619.6528 </t>
  </si>
  <si>
    <t> 24.09.1994 03:40 </t>
  </si>
  <si>
    <t>2449621.7324 </t>
  </si>
  <si>
    <t> 26.09.1994 05:34 </t>
  </si>
  <si>
    <t> -0.0473 </t>
  </si>
  <si>
    <t>2450261.4366 </t>
  </si>
  <si>
    <t> 26.06.1996 22:28 </t>
  </si>
  <si>
    <t> -0.0413 </t>
  </si>
  <si>
    <t> R.Diethelm </t>
  </si>
  <si>
    <t> BBS 112 </t>
  </si>
  <si>
    <t>2451080.633 </t>
  </si>
  <si>
    <t> 24.09.1998 03:11 </t>
  </si>
  <si>
    <t> -0.047 </t>
  </si>
  <si>
    <t>V </t>
  </si>
  <si>
    <t> P.Guilbault </t>
  </si>
  <si>
    <t> BBS 123 </t>
  </si>
  <si>
    <t>2451112.510 </t>
  </si>
  <si>
    <t> 26.10.1998 00:14 </t>
  </si>
  <si>
    <t> -0.051 </t>
  </si>
  <si>
    <t>2451157.564 </t>
  </si>
  <si>
    <t> 10.12.1998 01:32 </t>
  </si>
  <si>
    <t> -0.046 </t>
  </si>
  <si>
    <t>2451159.644 </t>
  </si>
  <si>
    <t> 12.12.1998 03:27 </t>
  </si>
  <si>
    <t> -0.045 </t>
  </si>
  <si>
    <t>2451166.575 </t>
  </si>
  <si>
    <t> 19.12.1998 01:48 </t>
  </si>
  <si>
    <t>2451839.531 </t>
  </si>
  <si>
    <t> 22.10.2000 00:44 </t>
  </si>
  <si>
    <t> -0.054 </t>
  </si>
  <si>
    <t> BBS 124 </t>
  </si>
  <si>
    <t>2451841.6151 </t>
  </si>
  <si>
    <t> 24.10.2000 02:45 </t>
  </si>
  <si>
    <t> -0.0492 </t>
  </si>
  <si>
    <t> M.Zejda </t>
  </si>
  <si>
    <t>IBVS 5287 </t>
  </si>
  <si>
    <t>2452133.3920 </t>
  </si>
  <si>
    <t> 11.08.2001 21:24 </t>
  </si>
  <si>
    <t> -0.0523 </t>
  </si>
  <si>
    <t>IBVS 5583 </t>
  </si>
  <si>
    <t>2452135.4733 </t>
  </si>
  <si>
    <t> 13.08.2001 23:21 </t>
  </si>
  <si>
    <t> -0.0502 </t>
  </si>
  <si>
    <t> BBS 126 </t>
  </si>
  <si>
    <t>2453266.5529 </t>
  </si>
  <si>
    <t> 18.09.2004 01:16 </t>
  </si>
  <si>
    <t> -0.0514 </t>
  </si>
  <si>
    <t>IBVS 5653 </t>
  </si>
  <si>
    <t>2453544.4710 </t>
  </si>
  <si>
    <t> 22.06.2005 23:18 </t>
  </si>
  <si>
    <t> -0.0520 </t>
  </si>
  <si>
    <t>C </t>
  </si>
  <si>
    <t>-I</t>
  </si>
  <si>
    <t> F.Agerer </t>
  </si>
  <si>
    <t>BAVM 178 </t>
  </si>
  <si>
    <t>2454216.3937 </t>
  </si>
  <si>
    <t> 25.04.2007 21:26 </t>
  </si>
  <si>
    <t>34194.5</t>
  </si>
  <si>
    <t> -0.0551 </t>
  </si>
  <si>
    <t>BAVM 186 </t>
  </si>
  <si>
    <t>2454364.35949 </t>
  </si>
  <si>
    <t> 20.09.2007 20:37 </t>
  </si>
  <si>
    <t>34408</t>
  </si>
  <si>
    <t> -0.05850 </t>
  </si>
  <si>
    <t>R</t>
  </si>
  <si>
    <t> P.Zasche </t>
  </si>
  <si>
    <t>IBVS 6007 </t>
  </si>
  <si>
    <t>2455357.51444 </t>
  </si>
  <si>
    <t> 10.06.2010 00:20 </t>
  </si>
  <si>
    <t>35841</t>
  </si>
  <si>
    <t> -0.06455 </t>
  </si>
  <si>
    <t>2455691.5678 </t>
  </si>
  <si>
    <t> 10.05.2011 01:37 </t>
  </si>
  <si>
    <t>36323</t>
  </si>
  <si>
    <t> -0.0681 </t>
  </si>
  <si>
    <t>BAVM 220 </t>
  </si>
  <si>
    <t>2455775.4274 </t>
  </si>
  <si>
    <t> 01.08.2011 22:15 </t>
  </si>
  <si>
    <t>36444</t>
  </si>
  <si>
    <t> -0.0693 </t>
  </si>
  <si>
    <t>2455787.5551 </t>
  </si>
  <si>
    <t> 14.08.2011 01:19 </t>
  </si>
  <si>
    <t>36461.5</t>
  </si>
  <si>
    <t> -0.0702 </t>
  </si>
  <si>
    <t>BAVM 225 </t>
  </si>
  <si>
    <t>2455945.22399 </t>
  </si>
  <si>
    <t> 18.01.2012 17:22 </t>
  </si>
  <si>
    <t>36689</t>
  </si>
  <si>
    <t> -0.07344 </t>
  </si>
  <si>
    <t>IBVS 6114 </t>
  </si>
  <si>
    <t>2456072.4020 </t>
  </si>
  <si>
    <t> 24.05.2012 21:38 </t>
  </si>
  <si>
    <t>36872.5</t>
  </si>
  <si>
    <t> -0.0727 </t>
  </si>
  <si>
    <t>BAVM 231 </t>
  </si>
  <si>
    <t>2456166.30797 </t>
  </si>
  <si>
    <t> 26.08.2012 19:23 </t>
  </si>
  <si>
    <t>37008</t>
  </si>
  <si>
    <t> -0.07694 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</si>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</sst>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1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8" applyFont="1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Cep - O-C Diagr.</a:t>
            </a:r>
          </a:p>
        </c:rich>
      </c:tx>
      <c:layout>
        <c:manualLayout>
          <c:xMode val="edge"/>
          <c:yMode val="edge"/>
          <c:x val="0.342975640441638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82-44B8-AB47-7B917397F1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12">
                  <c:v>-4.6814000001177192E-2</c:v>
                </c:pt>
                <c:pt idx="13">
                  <c:v>-5.0767200002155732E-2</c:v>
                </c:pt>
                <c:pt idx="14">
                  <c:v>-4.5940199997858144E-2</c:v>
                </c:pt>
                <c:pt idx="15">
                  <c:v>-4.5132800005376339E-2</c:v>
                </c:pt>
                <c:pt idx="16">
                  <c:v>-4.477480000059586E-2</c:v>
                </c:pt>
                <c:pt idx="19">
                  <c:v>-5.4112999998324085E-2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82-44B8-AB47-7B917397F1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7">
                  <c:v>-4.1929600003641099E-2</c:v>
                </c:pt>
                <c:pt idx="8">
                  <c:v>-4.1329600004246458E-2</c:v>
                </c:pt>
                <c:pt idx="24">
                  <c:v>-5.204500000400003E-2</c:v>
                </c:pt>
                <c:pt idx="25">
                  <c:v>-5.5086899999878369E-2</c:v>
                </c:pt>
                <c:pt idx="28">
                  <c:v>-6.8136599998979364E-2</c:v>
                </c:pt>
                <c:pt idx="29">
                  <c:v>-6.9304799995734356E-2</c:v>
                </c:pt>
                <c:pt idx="32">
                  <c:v>-7.2714499998255633E-2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82-44B8-AB47-7B917397F1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  <c:pt idx="1">
                  <c:v>-4.791990000376245E-2</c:v>
                </c:pt>
                <c:pt idx="2">
                  <c:v>-4.7716200002469122E-2</c:v>
                </c:pt>
                <c:pt idx="3">
                  <c:v>-4.7680399999080691E-2</c:v>
                </c:pt>
                <c:pt idx="4">
                  <c:v>-4.7272999996494036E-2</c:v>
                </c:pt>
                <c:pt idx="5">
                  <c:v>-4.4882000001962297E-2</c:v>
                </c:pt>
                <c:pt idx="6">
                  <c:v>-4.3129600002430379E-2</c:v>
                </c:pt>
                <c:pt idx="9">
                  <c:v>-4.1329600004246458E-2</c:v>
                </c:pt>
                <c:pt idx="10">
                  <c:v>-4.198980000364827E-2</c:v>
                </c:pt>
                <c:pt idx="11">
                  <c:v>-4.3404999996710103E-2</c:v>
                </c:pt>
                <c:pt idx="17">
                  <c:v>-4.8026399999798741E-2</c:v>
                </c:pt>
                <c:pt idx="18">
                  <c:v>-4.8579200003587175E-2</c:v>
                </c:pt>
                <c:pt idx="20">
                  <c:v>-4.9205600000277627E-2</c:v>
                </c:pt>
                <c:pt idx="21">
                  <c:v>-5.2333799998450559E-2</c:v>
                </c:pt>
                <c:pt idx="22">
                  <c:v>-5.0226400002429727E-2</c:v>
                </c:pt>
                <c:pt idx="23">
                  <c:v>-5.1400799995462876E-2</c:v>
                </c:pt>
                <c:pt idx="26">
                  <c:v>-5.8503599997493438E-2</c:v>
                </c:pt>
                <c:pt idx="27">
                  <c:v>-6.4552199997706339E-2</c:v>
                </c:pt>
                <c:pt idx="30">
                  <c:v>-7.0228299999143928E-2</c:v>
                </c:pt>
                <c:pt idx="31">
                  <c:v>-7.3443800007225946E-2</c:v>
                </c:pt>
                <c:pt idx="33">
                  <c:v>-7.6943600004597101E-2</c:v>
                </c:pt>
                <c:pt idx="34">
                  <c:v>-9.522119999746792E-2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82-44B8-AB47-7B917397F1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82-44B8-AB47-7B917397F1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82-44B8-AB47-7B917397F1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82-44B8-AB47-7B917397F1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22">
                  <c:v>-3.5510145830350226E-2</c:v>
                </c:pt>
                <c:pt idx="23">
                  <c:v>-4.6550170220471337E-2</c:v>
                </c:pt>
                <c:pt idx="24">
                  <c:v>-4.9262823272210654E-2</c:v>
                </c:pt>
                <c:pt idx="25">
                  <c:v>-5.5821220114258691E-2</c:v>
                </c:pt>
                <c:pt idx="26">
                  <c:v>-5.7265488010882992E-2</c:v>
                </c:pt>
                <c:pt idx="27">
                  <c:v>-6.6959332956375378E-2</c:v>
                </c:pt>
                <c:pt idx="28">
                  <c:v>-7.0219928395124365E-2</c:v>
                </c:pt>
                <c:pt idx="29">
                  <c:v>-7.1038459615225258E-2</c:v>
                </c:pt>
                <c:pt idx="30">
                  <c:v>-7.1156842229702671E-2</c:v>
                </c:pt>
                <c:pt idx="31">
                  <c:v>-7.2695816217908882E-2</c:v>
                </c:pt>
                <c:pt idx="32">
                  <c:v>-7.393714248971478E-2</c:v>
                </c:pt>
                <c:pt idx="33">
                  <c:v>-7.4853762161811221E-2</c:v>
                </c:pt>
                <c:pt idx="34">
                  <c:v>-9.2969684537267283E-2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82-44B8-AB47-7B917397F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38992"/>
        <c:axId val="1"/>
      </c:scatterChart>
      <c:valAx>
        <c:axId val="91483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38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03327476627404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LP Cep - O-C Diagr.</a:t>
            </a:r>
          </a:p>
        </c:rich>
      </c:tx>
      <c:layout>
        <c:manualLayout>
          <c:xMode val="edge"/>
          <c:yMode val="edge"/>
          <c:x val="0.344329896907216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28865979381442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EB-45A2-9DC7-149AA91DB78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12">
                  <c:v>-4.6814000001177192E-2</c:v>
                </c:pt>
                <c:pt idx="13">
                  <c:v>-5.0767200002155732E-2</c:v>
                </c:pt>
                <c:pt idx="14">
                  <c:v>-4.5940199997858144E-2</c:v>
                </c:pt>
                <c:pt idx="15">
                  <c:v>-4.5132800005376339E-2</c:v>
                </c:pt>
                <c:pt idx="16">
                  <c:v>-4.477480000059586E-2</c:v>
                </c:pt>
                <c:pt idx="19">
                  <c:v>-5.4112999998324085E-2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EB-45A2-9DC7-149AA91DB78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7">
                  <c:v>-4.1929600003641099E-2</c:v>
                </c:pt>
                <c:pt idx="8">
                  <c:v>-4.1329600004246458E-2</c:v>
                </c:pt>
                <c:pt idx="24">
                  <c:v>-5.204500000400003E-2</c:v>
                </c:pt>
                <c:pt idx="25">
                  <c:v>-5.5086899999878369E-2</c:v>
                </c:pt>
                <c:pt idx="28">
                  <c:v>-6.8136599998979364E-2</c:v>
                </c:pt>
                <c:pt idx="29">
                  <c:v>-6.9304799995734356E-2</c:v>
                </c:pt>
                <c:pt idx="32">
                  <c:v>-7.2714499998255633E-2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EB-45A2-9DC7-149AA91DB78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  <c:pt idx="1">
                  <c:v>-4.791990000376245E-2</c:v>
                </c:pt>
                <c:pt idx="2">
                  <c:v>-4.7716200002469122E-2</c:v>
                </c:pt>
                <c:pt idx="3">
                  <c:v>-4.7680399999080691E-2</c:v>
                </c:pt>
                <c:pt idx="4">
                  <c:v>-4.7272999996494036E-2</c:v>
                </c:pt>
                <c:pt idx="5">
                  <c:v>-4.4882000001962297E-2</c:v>
                </c:pt>
                <c:pt idx="6">
                  <c:v>-4.3129600002430379E-2</c:v>
                </c:pt>
                <c:pt idx="9">
                  <c:v>-4.1329600004246458E-2</c:v>
                </c:pt>
                <c:pt idx="10">
                  <c:v>-4.198980000364827E-2</c:v>
                </c:pt>
                <c:pt idx="11">
                  <c:v>-4.3404999996710103E-2</c:v>
                </c:pt>
                <c:pt idx="17">
                  <c:v>-4.8026399999798741E-2</c:v>
                </c:pt>
                <c:pt idx="18">
                  <c:v>-4.8579200003587175E-2</c:v>
                </c:pt>
                <c:pt idx="20">
                  <c:v>-4.9205600000277627E-2</c:v>
                </c:pt>
                <c:pt idx="21">
                  <c:v>-5.2333799998450559E-2</c:v>
                </c:pt>
                <c:pt idx="22">
                  <c:v>-5.0226400002429727E-2</c:v>
                </c:pt>
                <c:pt idx="23">
                  <c:v>-5.1400799995462876E-2</c:v>
                </c:pt>
                <c:pt idx="26">
                  <c:v>-5.8503599997493438E-2</c:v>
                </c:pt>
                <c:pt idx="27">
                  <c:v>-6.4552199997706339E-2</c:v>
                </c:pt>
                <c:pt idx="30">
                  <c:v>-7.0228299999143928E-2</c:v>
                </c:pt>
                <c:pt idx="31">
                  <c:v>-7.3443800007225946E-2</c:v>
                </c:pt>
                <c:pt idx="33">
                  <c:v>-7.6943600004597101E-2</c:v>
                </c:pt>
                <c:pt idx="34">
                  <c:v>-9.522119999746792E-2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EB-45A2-9DC7-149AA91DB78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EB-45A2-9DC7-149AA91DB78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EB-45A2-9DC7-149AA91DB78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2.0000000000000002E-5</c:v>
                  </c:pt>
                  <c:pt idx="6">
                    <c:v>1E-4</c:v>
                  </c:pt>
                  <c:pt idx="7">
                    <c:v>1.9E-3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5.0000000000000002E-5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2.0000000000000002E-5</c:v>
                  </c:pt>
                  <c:pt idx="19">
                    <c:v>0</c:v>
                  </c:pt>
                  <c:pt idx="20">
                    <c:v>1.6999999999999999E-3</c:v>
                  </c:pt>
                  <c:pt idx="21">
                    <c:v>5.4999999999999997E-3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1.1000000000000001E-3</c:v>
                  </c:pt>
                  <c:pt idx="26">
                    <c:v>6.9999999999999994E-5</c:v>
                  </c:pt>
                  <c:pt idx="27">
                    <c:v>4.0000000000000003E-5</c:v>
                  </c:pt>
                  <c:pt idx="28">
                    <c:v>1.1000000000000001E-3</c:v>
                  </c:pt>
                  <c:pt idx="29">
                    <c:v>8.0000000000000004E-4</c:v>
                  </c:pt>
                  <c:pt idx="30">
                    <c:v>0</c:v>
                  </c:pt>
                  <c:pt idx="31">
                    <c:v>1.2E-4</c:v>
                  </c:pt>
                  <c:pt idx="32">
                    <c:v>3.0999999999999999E-3</c:v>
                  </c:pt>
                  <c:pt idx="33">
                    <c:v>1.7000000000000001E-4</c:v>
                  </c:pt>
                  <c:pt idx="3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EB-45A2-9DC7-149AA91DB78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27559.5</c:v>
                </c:pt>
                <c:pt idx="2">
                  <c:v>27561</c:v>
                </c:pt>
                <c:pt idx="3">
                  <c:v>27562</c:v>
                </c:pt>
                <c:pt idx="4">
                  <c:v>27565</c:v>
                </c:pt>
                <c:pt idx="5">
                  <c:v>28110</c:v>
                </c:pt>
                <c:pt idx="6">
                  <c:v>28488</c:v>
                </c:pt>
                <c:pt idx="7">
                  <c:v>28488</c:v>
                </c:pt>
                <c:pt idx="8">
                  <c:v>28488</c:v>
                </c:pt>
                <c:pt idx="9">
                  <c:v>28488</c:v>
                </c:pt>
                <c:pt idx="10">
                  <c:v>28869</c:v>
                </c:pt>
                <c:pt idx="11">
                  <c:v>29475</c:v>
                </c:pt>
                <c:pt idx="12">
                  <c:v>29670</c:v>
                </c:pt>
                <c:pt idx="13">
                  <c:v>29716</c:v>
                </c:pt>
                <c:pt idx="14">
                  <c:v>29781</c:v>
                </c:pt>
                <c:pt idx="15">
                  <c:v>29784</c:v>
                </c:pt>
                <c:pt idx="16">
                  <c:v>29794</c:v>
                </c:pt>
                <c:pt idx="17">
                  <c:v>30192</c:v>
                </c:pt>
                <c:pt idx="18">
                  <c:v>30326</c:v>
                </c:pt>
                <c:pt idx="19">
                  <c:v>30765</c:v>
                </c:pt>
                <c:pt idx="20">
                  <c:v>30768</c:v>
                </c:pt>
                <c:pt idx="21">
                  <c:v>31189</c:v>
                </c:pt>
                <c:pt idx="22">
                  <c:v>31192</c:v>
                </c:pt>
                <c:pt idx="23">
                  <c:v>32824</c:v>
                </c:pt>
                <c:pt idx="24">
                  <c:v>33225</c:v>
                </c:pt>
                <c:pt idx="25">
                  <c:v>34194.5</c:v>
                </c:pt>
                <c:pt idx="26">
                  <c:v>34408</c:v>
                </c:pt>
                <c:pt idx="27">
                  <c:v>35841</c:v>
                </c:pt>
                <c:pt idx="28">
                  <c:v>36323</c:v>
                </c:pt>
                <c:pt idx="29">
                  <c:v>36444</c:v>
                </c:pt>
                <c:pt idx="30">
                  <c:v>36461.5</c:v>
                </c:pt>
                <c:pt idx="31">
                  <c:v>36689</c:v>
                </c:pt>
                <c:pt idx="32">
                  <c:v>36872.5</c:v>
                </c:pt>
                <c:pt idx="33">
                  <c:v>37008</c:v>
                </c:pt>
                <c:pt idx="34">
                  <c:v>39686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22">
                  <c:v>-3.5510145830350226E-2</c:v>
                </c:pt>
                <c:pt idx="23">
                  <c:v>-4.6550170220471337E-2</c:v>
                </c:pt>
                <c:pt idx="24">
                  <c:v>-4.9262823272210654E-2</c:v>
                </c:pt>
                <c:pt idx="25">
                  <c:v>-5.5821220114258691E-2</c:v>
                </c:pt>
                <c:pt idx="26">
                  <c:v>-5.7265488010882992E-2</c:v>
                </c:pt>
                <c:pt idx="27">
                  <c:v>-6.6959332956375378E-2</c:v>
                </c:pt>
                <c:pt idx="28">
                  <c:v>-7.0219928395124365E-2</c:v>
                </c:pt>
                <c:pt idx="29">
                  <c:v>-7.1038459615225258E-2</c:v>
                </c:pt>
                <c:pt idx="30">
                  <c:v>-7.1156842229702671E-2</c:v>
                </c:pt>
                <c:pt idx="31">
                  <c:v>-7.2695816217908882E-2</c:v>
                </c:pt>
                <c:pt idx="32">
                  <c:v>-7.393714248971478E-2</c:v>
                </c:pt>
                <c:pt idx="33">
                  <c:v>-7.4853762161811221E-2</c:v>
                </c:pt>
                <c:pt idx="34">
                  <c:v>-9.2969684537267283E-2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EB-45A2-9DC7-149AA91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46552"/>
        <c:axId val="1"/>
      </c:scatterChart>
      <c:valAx>
        <c:axId val="914846552"/>
        <c:scaling>
          <c:orientation val="minMax"/>
          <c:min val="2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46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83505154639174"/>
          <c:y val="0.92024539877300615"/>
          <c:w val="0.861855670103092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28576</xdr:rowOff>
    </xdr:from>
    <xdr:to>
      <xdr:col>17</xdr:col>
      <xdr:colOff>9525</xdr:colOff>
      <xdr:row>18</xdr:row>
      <xdr:rowOff>19051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C78FFA57-E8A2-05B6-E766-91BCE6199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142875</xdr:colOff>
      <xdr:row>0</xdr:row>
      <xdr:rowOff>38100</xdr:rowOff>
    </xdr:from>
    <xdr:to>
      <xdr:col>26</xdr:col>
      <xdr:colOff>666750</xdr:colOff>
      <xdr:row>17</xdr:row>
      <xdr:rowOff>152400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371CD3F0-8DE6-C27D-C3BA-D62A9286F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4234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4234" TargetMode="External"/><Relationship Id="rId16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4234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4234" TargetMode="External"/><Relationship Id="rId9" Type="http://schemas.openxmlformats.org/officeDocument/2006/relationships/hyperlink" Target="http://www.bav-astro.de/sfs/BAVM_link.php?BAVMnr=186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1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10" t="s">
        <v>37</v>
      </c>
    </row>
    <row r="4" spans="1:6" ht="14.25" thickTop="1" thickBot="1" x14ac:dyDescent="0.25">
      <c r="A4" s="6" t="s">
        <v>0</v>
      </c>
      <c r="C4" s="3">
        <v>30517.465</v>
      </c>
      <c r="D4" s="4">
        <v>0.69306420000000002</v>
      </c>
    </row>
    <row r="5" spans="1:6" ht="13.5" thickTop="1" x14ac:dyDescent="0.2">
      <c r="A5" s="15" t="s">
        <v>40</v>
      </c>
      <c r="B5" s="11"/>
      <c r="C5" s="16">
        <v>-9.5</v>
      </c>
      <c r="D5" s="11" t="s">
        <v>41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30517.465</v>
      </c>
    </row>
    <row r="8" spans="1:6" x14ac:dyDescent="0.2">
      <c r="A8" t="s">
        <v>3</v>
      </c>
      <c r="C8">
        <f>+D4</f>
        <v>0.69306420000000002</v>
      </c>
    </row>
    <row r="9" spans="1:6" x14ac:dyDescent="0.2">
      <c r="A9" s="30" t="s">
        <v>46</v>
      </c>
      <c r="B9" s="31">
        <v>45</v>
      </c>
      <c r="C9" s="29" t="str">
        <f>"F"&amp;B9</f>
        <v>F45</v>
      </c>
      <c r="D9" s="9" t="str">
        <f>"G"&amp;B9</f>
        <v>G45</v>
      </c>
    </row>
    <row r="10" spans="1:6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6" x14ac:dyDescent="0.2">
      <c r="A11" s="11" t="s">
        <v>16</v>
      </c>
      <c r="B11" s="11"/>
      <c r="C11" s="28">
        <f ca="1">INTERCEPT(INDIRECT($D$9):G992,INDIRECT($C$9):F992)</f>
        <v>0.17549502621417035</v>
      </c>
      <c r="D11" s="17"/>
      <c r="E11" s="11"/>
    </row>
    <row r="12" spans="1:6" x14ac:dyDescent="0.2">
      <c r="A12" s="11" t="s">
        <v>17</v>
      </c>
      <c r="B12" s="11"/>
      <c r="C12" s="28">
        <f ca="1">SLOPE(INDIRECT($D$9):G992,INDIRECT($C$9):F992)</f>
        <v>-6.7647208272800901E-6</v>
      </c>
      <c r="D12" s="17"/>
      <c r="E12" s="11"/>
    </row>
    <row r="13" spans="1:6" x14ac:dyDescent="0.2">
      <c r="A13" s="11" t="s">
        <v>19</v>
      </c>
      <c r="B13" s="11"/>
      <c r="C13" s="17" t="s">
        <v>14</v>
      </c>
    </row>
    <row r="14" spans="1:6" x14ac:dyDescent="0.2">
      <c r="A14" s="11"/>
      <c r="B14" s="11"/>
      <c r="C14" s="11"/>
    </row>
    <row r="15" spans="1:6" x14ac:dyDescent="0.2">
      <c r="A15" s="18" t="s">
        <v>18</v>
      </c>
      <c r="B15" s="11"/>
      <c r="C15" s="19">
        <f ca="1">(C7+C11)+(C8+C12)*INT(MAX(F21:F3533))</f>
        <v>58022.317871515465</v>
      </c>
      <c r="E15" s="20" t="s">
        <v>47</v>
      </c>
      <c r="F15" s="16">
        <v>1</v>
      </c>
    </row>
    <row r="16" spans="1:6" x14ac:dyDescent="0.2">
      <c r="A16" s="22" t="s">
        <v>4</v>
      </c>
      <c r="B16" s="11"/>
      <c r="C16" s="23">
        <f ca="1">+C8+C12</f>
        <v>0.69305743527917274</v>
      </c>
      <c r="E16" s="20" t="s">
        <v>42</v>
      </c>
      <c r="F16" s="21">
        <f ca="1">NOW()+15018.5+$C$5/24</f>
        <v>60332.692428819442</v>
      </c>
    </row>
    <row r="17" spans="1:31" ht="13.5" thickBot="1" x14ac:dyDescent="0.25">
      <c r="A17" s="20" t="s">
        <v>35</v>
      </c>
      <c r="B17" s="11"/>
      <c r="C17" s="11">
        <f>COUNT(C21:C2191)</f>
        <v>35</v>
      </c>
      <c r="E17" s="20" t="s">
        <v>48</v>
      </c>
      <c r="F17" s="21">
        <f ca="1">ROUND(2*(F16-$C$7)/$C$8,0)/2+F15</f>
        <v>43020.5</v>
      </c>
    </row>
    <row r="18" spans="1:31" ht="14.25" thickTop="1" thickBot="1" x14ac:dyDescent="0.25">
      <c r="A18" s="22" t="s">
        <v>5</v>
      </c>
      <c r="B18" s="11"/>
      <c r="C18" s="25">
        <f ca="1">+C15</f>
        <v>58022.317871515465</v>
      </c>
      <c r="D18" s="26">
        <f ca="1">+C16</f>
        <v>0.69305743527917274</v>
      </c>
      <c r="E18" s="20" t="s">
        <v>43</v>
      </c>
      <c r="F18" s="9">
        <f ca="1">ROUND(2*(F16-$C$15)/$C$16,0)/2+F15</f>
        <v>3334.5</v>
      </c>
    </row>
    <row r="19" spans="1:31" ht="13.5" thickTop="1" x14ac:dyDescent="0.2">
      <c r="E19" s="20" t="s">
        <v>44</v>
      </c>
      <c r="F19" s="24">
        <f ca="1">+$C$15+$C$16*F18-15018.5-$C$5/24</f>
        <v>45315.213722787201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62</v>
      </c>
      <c r="I20" s="8" t="s">
        <v>65</v>
      </c>
      <c r="J20" s="8" t="s">
        <v>59</v>
      </c>
      <c r="K20" s="8" t="s">
        <v>57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x14ac:dyDescent="0.2">
      <c r="A21" t="s">
        <v>12</v>
      </c>
      <c r="C21" s="27">
        <v>30517.465</v>
      </c>
      <c r="D21" s="27" t="s">
        <v>14</v>
      </c>
      <c r="E21">
        <f t="shared" ref="E21:E54" si="0">+(C21-C$7)/C$8</f>
        <v>0</v>
      </c>
      <c r="F21">
        <f t="shared" ref="F21:F55" si="1">ROUND(2*E21,0)/2</f>
        <v>0</v>
      </c>
      <c r="H21" s="9">
        <v>0</v>
      </c>
      <c r="Q21" s="2">
        <f t="shared" ref="Q21:Q54" si="2">+C21-15018.5</f>
        <v>15498.965</v>
      </c>
    </row>
    <row r="22" spans="1:31" x14ac:dyDescent="0.2">
      <c r="A22" s="32" t="s">
        <v>49</v>
      </c>
      <c r="B22" s="33" t="s">
        <v>50</v>
      </c>
      <c r="C22" s="32">
        <v>49617.919900000001</v>
      </c>
      <c r="D22" s="32">
        <v>1.1000000000000001E-3</v>
      </c>
      <c r="E22">
        <f t="shared" si="0"/>
        <v>27559.430857920521</v>
      </c>
      <c r="F22">
        <f t="shared" si="1"/>
        <v>27559.5</v>
      </c>
      <c r="G22">
        <f t="shared" ref="G22:G54" si="3">+C22-(C$7+F22*C$8)</f>
        <v>-4.791990000376245E-2</v>
      </c>
      <c r="K22">
        <f t="shared" ref="K22:K27" si="4">+G22</f>
        <v>-4.791990000376245E-2</v>
      </c>
      <c r="Q22" s="2">
        <f t="shared" si="2"/>
        <v>34599.419900000001</v>
      </c>
      <c r="R22" t="s">
        <v>57</v>
      </c>
    </row>
    <row r="23" spans="1:31" x14ac:dyDescent="0.2">
      <c r="A23" s="32" t="s">
        <v>49</v>
      </c>
      <c r="B23" s="33" t="s">
        <v>32</v>
      </c>
      <c r="C23" s="32">
        <v>49618.959699999999</v>
      </c>
      <c r="D23" s="32">
        <v>2.0000000000000001E-4</v>
      </c>
      <c r="E23">
        <f t="shared" si="0"/>
        <v>27560.931151832687</v>
      </c>
      <c r="F23">
        <f t="shared" si="1"/>
        <v>27561</v>
      </c>
      <c r="G23">
        <f t="shared" si="3"/>
        <v>-4.7716200002469122E-2</v>
      </c>
      <c r="K23">
        <f t="shared" si="4"/>
        <v>-4.7716200002469122E-2</v>
      </c>
      <c r="Q23" s="2">
        <f t="shared" si="2"/>
        <v>34600.459699999999</v>
      </c>
      <c r="R23" t="s">
        <v>57</v>
      </c>
    </row>
    <row r="24" spans="1:31" x14ac:dyDescent="0.2">
      <c r="A24" s="32" t="s">
        <v>49</v>
      </c>
      <c r="B24" s="33" t="s">
        <v>32</v>
      </c>
      <c r="C24" s="32">
        <v>49619.652800000003</v>
      </c>
      <c r="D24" s="32">
        <v>2.0000000000000001E-4</v>
      </c>
      <c r="E24">
        <f t="shared" si="0"/>
        <v>27561.931203487358</v>
      </c>
      <c r="F24">
        <f t="shared" si="1"/>
        <v>27562</v>
      </c>
      <c r="G24">
        <f t="shared" si="3"/>
        <v>-4.7680399999080691E-2</v>
      </c>
      <c r="K24">
        <f t="shared" si="4"/>
        <v>-4.7680399999080691E-2</v>
      </c>
      <c r="Q24" s="2">
        <f t="shared" si="2"/>
        <v>34601.152800000003</v>
      </c>
      <c r="R24" t="s">
        <v>57</v>
      </c>
    </row>
    <row r="25" spans="1:31" x14ac:dyDescent="0.2">
      <c r="A25" s="32" t="s">
        <v>49</v>
      </c>
      <c r="B25" s="33" t="s">
        <v>32</v>
      </c>
      <c r="C25" s="32">
        <v>49621.732400000001</v>
      </c>
      <c r="D25" s="32">
        <v>5.0000000000000001E-4</v>
      </c>
      <c r="E25">
        <f t="shared" si="0"/>
        <v>27564.931791311687</v>
      </c>
      <c r="F25">
        <f t="shared" si="1"/>
        <v>27565</v>
      </c>
      <c r="G25">
        <f t="shared" si="3"/>
        <v>-4.7272999996494036E-2</v>
      </c>
      <c r="K25">
        <f t="shared" si="4"/>
        <v>-4.7272999996494036E-2</v>
      </c>
      <c r="Q25" s="2">
        <f t="shared" si="2"/>
        <v>34603.232400000001</v>
      </c>
      <c r="R25" t="s">
        <v>57</v>
      </c>
    </row>
    <row r="26" spans="1:31" x14ac:dyDescent="0.2">
      <c r="A26" s="34" t="s">
        <v>33</v>
      </c>
      <c r="B26" s="34"/>
      <c r="C26" s="14">
        <v>49999.45478</v>
      </c>
      <c r="D26" s="14">
        <v>2.0000000000000002E-5</v>
      </c>
      <c r="E26">
        <f t="shared" si="0"/>
        <v>28109.935241208532</v>
      </c>
      <c r="F26">
        <f t="shared" si="1"/>
        <v>28110</v>
      </c>
      <c r="G26">
        <f t="shared" si="3"/>
        <v>-4.4882000001962297E-2</v>
      </c>
      <c r="K26">
        <f t="shared" si="4"/>
        <v>-4.4882000001962297E-2</v>
      </c>
      <c r="Q26" s="2">
        <f t="shared" si="2"/>
        <v>34980.95478</v>
      </c>
      <c r="R26" t="s">
        <v>57</v>
      </c>
    </row>
    <row r="27" spans="1:31" x14ac:dyDescent="0.2">
      <c r="A27" s="34" t="s">
        <v>33</v>
      </c>
      <c r="B27" s="34"/>
      <c r="C27" s="14">
        <v>50261.434800000003</v>
      </c>
      <c r="D27" s="14">
        <v>1E-4</v>
      </c>
      <c r="E27">
        <f t="shared" si="0"/>
        <v>28487.937769690026</v>
      </c>
      <c r="F27">
        <f t="shared" si="1"/>
        <v>28488</v>
      </c>
      <c r="G27">
        <f t="shared" si="3"/>
        <v>-4.3129600002430379E-2</v>
      </c>
      <c r="K27">
        <f t="shared" si="4"/>
        <v>-4.3129600002430379E-2</v>
      </c>
      <c r="Q27" s="2">
        <f t="shared" si="2"/>
        <v>35242.934800000003</v>
      </c>
      <c r="R27" t="s">
        <v>57</v>
      </c>
    </row>
    <row r="28" spans="1:31" x14ac:dyDescent="0.2">
      <c r="A28" s="34" t="s">
        <v>29</v>
      </c>
      <c r="B28" s="34"/>
      <c r="C28" s="14">
        <v>50261.436000000002</v>
      </c>
      <c r="D28" s="14">
        <v>1.9E-3</v>
      </c>
      <c r="E28">
        <f t="shared" si="0"/>
        <v>28487.939501131354</v>
      </c>
      <c r="F28">
        <f t="shared" si="1"/>
        <v>28488</v>
      </c>
      <c r="G28">
        <f t="shared" si="3"/>
        <v>-4.1929600003641099E-2</v>
      </c>
      <c r="J28">
        <f>+G28</f>
        <v>-4.1929600003641099E-2</v>
      </c>
      <c r="Q28" s="2">
        <f t="shared" si="2"/>
        <v>35242.936000000002</v>
      </c>
      <c r="AA28">
        <v>13</v>
      </c>
      <c r="AC28" t="s">
        <v>28</v>
      </c>
      <c r="AE28" t="s">
        <v>30</v>
      </c>
    </row>
    <row r="29" spans="1:31" x14ac:dyDescent="0.2">
      <c r="A29" s="34" t="s">
        <v>29</v>
      </c>
      <c r="B29" s="34"/>
      <c r="C29" s="14">
        <v>50261.436600000001</v>
      </c>
      <c r="D29" s="14">
        <v>1.9E-3</v>
      </c>
      <c r="E29">
        <f t="shared" si="0"/>
        <v>28487.940366852017</v>
      </c>
      <c r="F29">
        <f t="shared" si="1"/>
        <v>28488</v>
      </c>
      <c r="G29">
        <f t="shared" si="3"/>
        <v>-4.1329600004246458E-2</v>
      </c>
      <c r="J29">
        <f>+G29</f>
        <v>-4.1329600004246458E-2</v>
      </c>
      <c r="Q29" s="2">
        <f t="shared" si="2"/>
        <v>35242.936600000001</v>
      </c>
      <c r="AA29">
        <v>13</v>
      </c>
      <c r="AC29" t="s">
        <v>28</v>
      </c>
      <c r="AE29" t="s">
        <v>30</v>
      </c>
    </row>
    <row r="30" spans="1:31" x14ac:dyDescent="0.2">
      <c r="A30" s="34" t="s">
        <v>33</v>
      </c>
      <c r="B30" s="34"/>
      <c r="C30" s="14">
        <v>50261.436600000001</v>
      </c>
      <c r="D30" s="14">
        <v>1.9E-3</v>
      </c>
      <c r="E30">
        <f t="shared" si="0"/>
        <v>28487.940366852017</v>
      </c>
      <c r="F30">
        <f t="shared" si="1"/>
        <v>28488</v>
      </c>
      <c r="G30">
        <f t="shared" si="3"/>
        <v>-4.1329600004246458E-2</v>
      </c>
      <c r="K30">
        <f>+G30</f>
        <v>-4.1329600004246458E-2</v>
      </c>
      <c r="Q30" s="2">
        <f t="shared" si="2"/>
        <v>35242.936600000001</v>
      </c>
      <c r="R30" t="s">
        <v>57</v>
      </c>
    </row>
    <row r="31" spans="1:31" x14ac:dyDescent="0.2">
      <c r="A31" s="34" t="s">
        <v>33</v>
      </c>
      <c r="B31" s="34"/>
      <c r="C31" s="14">
        <v>50525.493399999999</v>
      </c>
      <c r="D31" s="14">
        <v>2.0000000000000001E-4</v>
      </c>
      <c r="E31">
        <f t="shared" si="0"/>
        <v>28868.93941427071</v>
      </c>
      <c r="F31">
        <f t="shared" si="1"/>
        <v>28869</v>
      </c>
      <c r="G31">
        <f t="shared" si="3"/>
        <v>-4.198980000364827E-2</v>
      </c>
      <c r="K31">
        <f>+G31</f>
        <v>-4.198980000364827E-2</v>
      </c>
      <c r="Q31" s="2">
        <f t="shared" si="2"/>
        <v>35506.993399999999</v>
      </c>
      <c r="R31" t="s">
        <v>57</v>
      </c>
    </row>
    <row r="32" spans="1:31" x14ac:dyDescent="0.2">
      <c r="A32" s="34" t="s">
        <v>33</v>
      </c>
      <c r="B32" s="34"/>
      <c r="C32" s="14">
        <v>50945.488890000001</v>
      </c>
      <c r="D32" s="14">
        <v>5.0000000000000002E-5</v>
      </c>
      <c r="E32">
        <f t="shared" si="0"/>
        <v>29474.937372324239</v>
      </c>
      <c r="F32">
        <f t="shared" si="1"/>
        <v>29475</v>
      </c>
      <c r="G32">
        <f t="shared" si="3"/>
        <v>-4.3404999996710103E-2</v>
      </c>
      <c r="K32">
        <f>+G32</f>
        <v>-4.3404999996710103E-2</v>
      </c>
      <c r="Q32" s="2">
        <f t="shared" si="2"/>
        <v>35926.988890000001</v>
      </c>
      <c r="R32" t="s">
        <v>57</v>
      </c>
    </row>
    <row r="33" spans="1:18" x14ac:dyDescent="0.2">
      <c r="A33" s="57" t="s">
        <v>91</v>
      </c>
      <c r="B33" s="58" t="s">
        <v>32</v>
      </c>
      <c r="C33" s="57">
        <v>51080.633000000002</v>
      </c>
      <c r="D33" s="57" t="s">
        <v>65</v>
      </c>
      <c r="E33">
        <f t="shared" si="0"/>
        <v>29669.932453587997</v>
      </c>
      <c r="F33">
        <f t="shared" si="1"/>
        <v>29670</v>
      </c>
      <c r="G33">
        <f t="shared" si="3"/>
        <v>-4.6814000001177192E-2</v>
      </c>
      <c r="I33">
        <f>+G33</f>
        <v>-4.6814000001177192E-2</v>
      </c>
      <c r="Q33" s="2">
        <f t="shared" si="2"/>
        <v>36062.133000000002</v>
      </c>
    </row>
    <row r="34" spans="1:18" x14ac:dyDescent="0.2">
      <c r="A34" s="57" t="s">
        <v>91</v>
      </c>
      <c r="B34" s="58" t="s">
        <v>32</v>
      </c>
      <c r="C34" s="57">
        <v>51112.51</v>
      </c>
      <c r="D34" s="57" t="s">
        <v>65</v>
      </c>
      <c r="E34">
        <f t="shared" si="0"/>
        <v>29715.926749643109</v>
      </c>
      <c r="F34">
        <f t="shared" si="1"/>
        <v>29716</v>
      </c>
      <c r="G34">
        <f t="shared" si="3"/>
        <v>-5.0767200002155732E-2</v>
      </c>
      <c r="I34">
        <f>+G34</f>
        <v>-5.0767200002155732E-2</v>
      </c>
      <c r="Q34" s="2">
        <f t="shared" si="2"/>
        <v>36094.01</v>
      </c>
    </row>
    <row r="35" spans="1:18" x14ac:dyDescent="0.2">
      <c r="A35" s="57" t="s">
        <v>91</v>
      </c>
      <c r="B35" s="58" t="s">
        <v>32</v>
      </c>
      <c r="C35" s="57">
        <v>51157.563999999998</v>
      </c>
      <c r="D35" s="57" t="s">
        <v>65</v>
      </c>
      <c r="E35">
        <f t="shared" si="0"/>
        <v>29780.933714365852</v>
      </c>
      <c r="F35">
        <f t="shared" si="1"/>
        <v>29781</v>
      </c>
      <c r="G35">
        <f t="shared" si="3"/>
        <v>-4.5940199997858144E-2</v>
      </c>
      <c r="I35">
        <f>+G35</f>
        <v>-4.5940199997858144E-2</v>
      </c>
      <c r="Q35" s="2">
        <f t="shared" si="2"/>
        <v>36139.063999999998</v>
      </c>
    </row>
    <row r="36" spans="1:18" x14ac:dyDescent="0.2">
      <c r="A36" s="57" t="s">
        <v>91</v>
      </c>
      <c r="B36" s="58" t="s">
        <v>32</v>
      </c>
      <c r="C36" s="57">
        <v>51159.644</v>
      </c>
      <c r="D36" s="57" t="s">
        <v>65</v>
      </c>
      <c r="E36">
        <f t="shared" si="0"/>
        <v>29783.934879337296</v>
      </c>
      <c r="F36">
        <f t="shared" si="1"/>
        <v>29784</v>
      </c>
      <c r="G36">
        <f t="shared" si="3"/>
        <v>-4.5132800005376339E-2</v>
      </c>
      <c r="I36">
        <f>+G36</f>
        <v>-4.5132800005376339E-2</v>
      </c>
      <c r="Q36" s="2">
        <f t="shared" si="2"/>
        <v>36141.144</v>
      </c>
    </row>
    <row r="37" spans="1:18" x14ac:dyDescent="0.2">
      <c r="A37" s="57" t="s">
        <v>91</v>
      </c>
      <c r="B37" s="58" t="s">
        <v>32</v>
      </c>
      <c r="C37" s="57">
        <v>51166.574999999997</v>
      </c>
      <c r="D37" s="57" t="s">
        <v>65</v>
      </c>
      <c r="E37">
        <f t="shared" si="0"/>
        <v>29793.935395883957</v>
      </c>
      <c r="F37">
        <f t="shared" si="1"/>
        <v>29794</v>
      </c>
      <c r="G37">
        <f t="shared" si="3"/>
        <v>-4.477480000059586E-2</v>
      </c>
      <c r="I37">
        <f>+G37</f>
        <v>-4.477480000059586E-2</v>
      </c>
      <c r="Q37" s="2">
        <f t="shared" si="2"/>
        <v>36148.074999999997</v>
      </c>
    </row>
    <row r="38" spans="1:18" x14ac:dyDescent="0.2">
      <c r="A38" s="34" t="s">
        <v>33</v>
      </c>
      <c r="B38" s="34"/>
      <c r="C38" s="14">
        <v>51442.4113</v>
      </c>
      <c r="D38" s="14">
        <v>2.0000000000000001E-4</v>
      </c>
      <c r="E38">
        <f t="shared" si="0"/>
        <v>30191.930704255101</v>
      </c>
      <c r="F38">
        <f t="shared" si="1"/>
        <v>30192</v>
      </c>
      <c r="G38">
        <f t="shared" si="3"/>
        <v>-4.8026399999798741E-2</v>
      </c>
      <c r="K38">
        <f>+G38</f>
        <v>-4.8026399999798741E-2</v>
      </c>
      <c r="Q38" s="2">
        <f t="shared" si="2"/>
        <v>36423.9113</v>
      </c>
      <c r="R38" t="s">
        <v>57</v>
      </c>
    </row>
    <row r="39" spans="1:18" x14ac:dyDescent="0.2">
      <c r="A39" s="34" t="s">
        <v>33</v>
      </c>
      <c r="B39" s="34"/>
      <c r="C39" s="14">
        <v>51535.281349999997</v>
      </c>
      <c r="D39" s="14">
        <v>2.0000000000000002E-5</v>
      </c>
      <c r="E39">
        <f t="shared" si="0"/>
        <v>30325.929906637793</v>
      </c>
      <c r="F39">
        <f t="shared" si="1"/>
        <v>30326</v>
      </c>
      <c r="G39">
        <f t="shared" si="3"/>
        <v>-4.8579200003587175E-2</v>
      </c>
      <c r="K39">
        <f>+G39</f>
        <v>-4.8579200003587175E-2</v>
      </c>
      <c r="Q39" s="2">
        <f t="shared" si="2"/>
        <v>36516.781349999997</v>
      </c>
      <c r="R39" t="s">
        <v>57</v>
      </c>
    </row>
    <row r="40" spans="1:18" x14ac:dyDescent="0.2">
      <c r="A40" s="57" t="s">
        <v>106</v>
      </c>
      <c r="B40" s="58" t="s">
        <v>32</v>
      </c>
      <c r="C40" s="57">
        <v>51839.531000000003</v>
      </c>
      <c r="D40" s="57" t="s">
        <v>65</v>
      </c>
      <c r="E40">
        <f t="shared" si="0"/>
        <v>30764.921922096109</v>
      </c>
      <c r="F40">
        <f t="shared" si="1"/>
        <v>30765</v>
      </c>
      <c r="G40">
        <f t="shared" si="3"/>
        <v>-5.4112999998324085E-2</v>
      </c>
      <c r="I40">
        <f>+G40</f>
        <v>-5.4112999998324085E-2</v>
      </c>
      <c r="Q40" s="2">
        <f t="shared" si="2"/>
        <v>36821.031000000003</v>
      </c>
    </row>
    <row r="41" spans="1:18" x14ac:dyDescent="0.2">
      <c r="A41" s="34" t="s">
        <v>31</v>
      </c>
      <c r="B41" s="13" t="s">
        <v>32</v>
      </c>
      <c r="C41" s="35">
        <v>51841.615100000003</v>
      </c>
      <c r="D41" s="35">
        <v>1.6999999999999999E-3</v>
      </c>
      <c r="E41">
        <f t="shared" si="0"/>
        <v>30767.929002825425</v>
      </c>
      <c r="F41">
        <f t="shared" si="1"/>
        <v>30768</v>
      </c>
      <c r="G41">
        <f t="shared" si="3"/>
        <v>-4.9205600000277627E-2</v>
      </c>
      <c r="K41">
        <f>+G41</f>
        <v>-4.9205600000277627E-2</v>
      </c>
      <c r="Q41" s="2">
        <f t="shared" si="2"/>
        <v>36823.115100000003</v>
      </c>
      <c r="R41" t="s">
        <v>57</v>
      </c>
    </row>
    <row r="42" spans="1:18" x14ac:dyDescent="0.2">
      <c r="A42" s="36" t="s">
        <v>34</v>
      </c>
      <c r="B42" s="37" t="s">
        <v>32</v>
      </c>
      <c r="C42" s="35">
        <v>52133.392</v>
      </c>
      <c r="D42" s="35">
        <v>5.4999999999999997E-3</v>
      </c>
      <c r="E42">
        <f t="shared" si="0"/>
        <v>31188.924489246449</v>
      </c>
      <c r="F42">
        <f t="shared" si="1"/>
        <v>31189</v>
      </c>
      <c r="G42">
        <f t="shared" si="3"/>
        <v>-5.2333799998450559E-2</v>
      </c>
      <c r="K42">
        <f>+G42</f>
        <v>-5.2333799998450559E-2</v>
      </c>
      <c r="Q42" s="2">
        <f t="shared" si="2"/>
        <v>37114.892</v>
      </c>
      <c r="R42" t="s">
        <v>57</v>
      </c>
    </row>
    <row r="43" spans="1:18" x14ac:dyDescent="0.2">
      <c r="A43" s="57" t="s">
        <v>119</v>
      </c>
      <c r="B43" s="58" t="s">
        <v>32</v>
      </c>
      <c r="C43" s="57">
        <v>52135.473299999998</v>
      </c>
      <c r="D43" s="57" t="s">
        <v>65</v>
      </c>
      <c r="E43">
        <f t="shared" si="0"/>
        <v>31191.927529945995</v>
      </c>
      <c r="F43">
        <f t="shared" si="1"/>
        <v>31192</v>
      </c>
      <c r="G43">
        <f t="shared" si="3"/>
        <v>-5.0226400002429727E-2</v>
      </c>
      <c r="K43">
        <f>+G43</f>
        <v>-5.0226400002429727E-2</v>
      </c>
      <c r="O43">
        <f t="shared" ref="O43:O54" ca="1" si="5">+C$11+C$12*F43</f>
        <v>-3.5510145830350226E-2</v>
      </c>
      <c r="Q43" s="2">
        <f t="shared" si="2"/>
        <v>37116.973299999998</v>
      </c>
    </row>
    <row r="44" spans="1:18" x14ac:dyDescent="0.2">
      <c r="A44" s="12" t="s">
        <v>39</v>
      </c>
      <c r="B44" s="13" t="s">
        <v>32</v>
      </c>
      <c r="C44" s="14">
        <v>53266.552900000002</v>
      </c>
      <c r="D44" s="14">
        <v>1.5E-3</v>
      </c>
      <c r="E44">
        <f t="shared" si="0"/>
        <v>32823.925835442089</v>
      </c>
      <c r="F44">
        <f t="shared" si="1"/>
        <v>32824</v>
      </c>
      <c r="G44">
        <f t="shared" si="3"/>
        <v>-5.1400799995462876E-2</v>
      </c>
      <c r="K44">
        <f>+G44</f>
        <v>-5.1400799995462876E-2</v>
      </c>
      <c r="O44">
        <f t="shared" ca="1" si="5"/>
        <v>-4.6550170220471337E-2</v>
      </c>
      <c r="Q44" s="2">
        <f t="shared" si="2"/>
        <v>38248.052900000002</v>
      </c>
      <c r="R44" t="s">
        <v>57</v>
      </c>
    </row>
    <row r="45" spans="1:18" x14ac:dyDescent="0.2">
      <c r="A45" s="12" t="s">
        <v>38</v>
      </c>
      <c r="B45" s="36"/>
      <c r="C45" s="14">
        <v>53544.470999999998</v>
      </c>
      <c r="D45" s="14">
        <v>4.0000000000000002E-4</v>
      </c>
      <c r="E45">
        <f t="shared" si="0"/>
        <v>33224.92490594666</v>
      </c>
      <c r="F45">
        <f t="shared" si="1"/>
        <v>33225</v>
      </c>
      <c r="G45">
        <f t="shared" si="3"/>
        <v>-5.204500000400003E-2</v>
      </c>
      <c r="J45">
        <f>+G45</f>
        <v>-5.204500000400003E-2</v>
      </c>
      <c r="O45">
        <f t="shared" ca="1" si="5"/>
        <v>-4.9262823272210654E-2</v>
      </c>
      <c r="Q45" s="2">
        <f t="shared" si="2"/>
        <v>38525.970999999998</v>
      </c>
      <c r="R45" t="s">
        <v>59</v>
      </c>
    </row>
    <row r="46" spans="1:18" x14ac:dyDescent="0.2">
      <c r="A46" s="14" t="s">
        <v>45</v>
      </c>
      <c r="B46" s="37"/>
      <c r="C46" s="14">
        <v>54216.393700000001</v>
      </c>
      <c r="D46" s="14">
        <v>1.1000000000000001E-3</v>
      </c>
      <c r="E46">
        <f t="shared" si="0"/>
        <v>34194.420516887178</v>
      </c>
      <c r="F46">
        <f t="shared" si="1"/>
        <v>34194.5</v>
      </c>
      <c r="G46">
        <f t="shared" si="3"/>
        <v>-5.5086899999878369E-2</v>
      </c>
      <c r="J46">
        <f>+G46</f>
        <v>-5.5086899999878369E-2</v>
      </c>
      <c r="O46">
        <f t="shared" ca="1" si="5"/>
        <v>-5.5821220114258691E-2</v>
      </c>
      <c r="Q46" s="2">
        <f t="shared" si="2"/>
        <v>39197.893700000001</v>
      </c>
      <c r="R46" t="s">
        <v>59</v>
      </c>
    </row>
    <row r="47" spans="1:18" x14ac:dyDescent="0.2">
      <c r="A47" s="32" t="s">
        <v>51</v>
      </c>
      <c r="B47" s="33" t="s">
        <v>32</v>
      </c>
      <c r="C47" s="32">
        <v>54364.359490000003</v>
      </c>
      <c r="D47" s="32">
        <v>6.9999999999999994E-5</v>
      </c>
      <c r="E47">
        <f t="shared" si="0"/>
        <v>34407.915587040858</v>
      </c>
      <c r="F47">
        <f t="shared" si="1"/>
        <v>34408</v>
      </c>
      <c r="G47">
        <f t="shared" si="3"/>
        <v>-5.8503599997493438E-2</v>
      </c>
      <c r="K47">
        <f>+G47</f>
        <v>-5.8503599997493438E-2</v>
      </c>
      <c r="O47">
        <f t="shared" ca="1" si="5"/>
        <v>-5.7265488010882992E-2</v>
      </c>
      <c r="Q47" s="2">
        <f t="shared" si="2"/>
        <v>39345.859490000003</v>
      </c>
      <c r="R47" t="s">
        <v>57</v>
      </c>
    </row>
    <row r="48" spans="1:18" x14ac:dyDescent="0.2">
      <c r="A48" s="32" t="s">
        <v>51</v>
      </c>
      <c r="B48" s="33" t="s">
        <v>32</v>
      </c>
      <c r="C48" s="32">
        <v>55357.514439999999</v>
      </c>
      <c r="D48" s="32">
        <v>4.0000000000000003E-5</v>
      </c>
      <c r="E48">
        <f t="shared" si="0"/>
        <v>35840.906859710827</v>
      </c>
      <c r="F48">
        <f t="shared" si="1"/>
        <v>35841</v>
      </c>
      <c r="G48">
        <f t="shared" si="3"/>
        <v>-6.4552199997706339E-2</v>
      </c>
      <c r="K48">
        <f>+G48</f>
        <v>-6.4552199997706339E-2</v>
      </c>
      <c r="O48">
        <f t="shared" ca="1" si="5"/>
        <v>-6.6959332956375378E-2</v>
      </c>
      <c r="Q48" s="2">
        <f t="shared" si="2"/>
        <v>40339.014439999999</v>
      </c>
      <c r="R48" t="s">
        <v>57</v>
      </c>
    </row>
    <row r="49" spans="1:18" x14ac:dyDescent="0.2">
      <c r="A49" s="32" t="s">
        <v>52</v>
      </c>
      <c r="B49" s="33" t="s">
        <v>32</v>
      </c>
      <c r="C49" s="32">
        <v>55691.567799999997</v>
      </c>
      <c r="D49" s="32">
        <v>1.1000000000000001E-3</v>
      </c>
      <c r="E49">
        <f t="shared" si="0"/>
        <v>36322.901687895574</v>
      </c>
      <c r="F49">
        <f t="shared" si="1"/>
        <v>36323</v>
      </c>
      <c r="G49">
        <f t="shared" si="3"/>
        <v>-6.8136599998979364E-2</v>
      </c>
      <c r="J49">
        <f>+G49</f>
        <v>-6.8136599998979364E-2</v>
      </c>
      <c r="O49">
        <f t="shared" ca="1" si="5"/>
        <v>-7.0219928395124365E-2</v>
      </c>
      <c r="Q49" s="2">
        <f t="shared" si="2"/>
        <v>40673.067799999997</v>
      </c>
      <c r="R49" t="s">
        <v>59</v>
      </c>
    </row>
    <row r="50" spans="1:18" x14ac:dyDescent="0.2">
      <c r="A50" s="32" t="s">
        <v>52</v>
      </c>
      <c r="B50" s="33" t="s">
        <v>32</v>
      </c>
      <c r="C50" s="32">
        <v>55775.4274</v>
      </c>
      <c r="D50" s="32">
        <v>8.0000000000000004E-4</v>
      </c>
      <c r="E50">
        <f t="shared" si="0"/>
        <v>36443.900002337446</v>
      </c>
      <c r="F50">
        <f t="shared" si="1"/>
        <v>36444</v>
      </c>
      <c r="G50">
        <f t="shared" si="3"/>
        <v>-6.9304799995734356E-2</v>
      </c>
      <c r="J50">
        <f>+G50</f>
        <v>-6.9304799995734356E-2</v>
      </c>
      <c r="O50">
        <f t="shared" ca="1" si="5"/>
        <v>-7.1038459615225258E-2</v>
      </c>
      <c r="Q50" s="2">
        <f t="shared" si="2"/>
        <v>40756.9274</v>
      </c>
      <c r="R50" t="s">
        <v>59</v>
      </c>
    </row>
    <row r="51" spans="1:18" x14ac:dyDescent="0.2">
      <c r="A51" s="57" t="s">
        <v>160</v>
      </c>
      <c r="B51" s="58" t="s">
        <v>50</v>
      </c>
      <c r="C51" s="57">
        <v>55787.555099999998</v>
      </c>
      <c r="D51" s="57" t="s">
        <v>65</v>
      </c>
      <c r="E51">
        <f t="shared" si="0"/>
        <v>36461.398669849048</v>
      </c>
      <c r="F51">
        <f t="shared" si="1"/>
        <v>36461.5</v>
      </c>
      <c r="G51">
        <f t="shared" si="3"/>
        <v>-7.0228299999143928E-2</v>
      </c>
      <c r="K51">
        <f>+G51</f>
        <v>-7.0228299999143928E-2</v>
      </c>
      <c r="O51">
        <f t="shared" ca="1" si="5"/>
        <v>-7.1156842229702671E-2</v>
      </c>
      <c r="Q51" s="2">
        <f t="shared" si="2"/>
        <v>40769.055099999998</v>
      </c>
    </row>
    <row r="52" spans="1:18" x14ac:dyDescent="0.2">
      <c r="A52" s="41" t="s">
        <v>54</v>
      </c>
      <c r="B52" s="42" t="s">
        <v>32</v>
      </c>
      <c r="C52" s="41">
        <v>55945.223989999999</v>
      </c>
      <c r="D52" s="41">
        <v>1.2E-4</v>
      </c>
      <c r="E52">
        <f t="shared" si="0"/>
        <v>36688.894030307725</v>
      </c>
      <c r="F52">
        <f t="shared" si="1"/>
        <v>36689</v>
      </c>
      <c r="G52">
        <f t="shared" si="3"/>
        <v>-7.3443800007225946E-2</v>
      </c>
      <c r="K52">
        <f>+G52</f>
        <v>-7.3443800007225946E-2</v>
      </c>
      <c r="O52">
        <f t="shared" ca="1" si="5"/>
        <v>-7.2695816217908882E-2</v>
      </c>
      <c r="Q52" s="2">
        <f t="shared" si="2"/>
        <v>40926.723989999999</v>
      </c>
      <c r="R52" t="s">
        <v>57</v>
      </c>
    </row>
    <row r="53" spans="1:18" x14ac:dyDescent="0.2">
      <c r="A53" s="38" t="s">
        <v>53</v>
      </c>
      <c r="B53" s="39" t="s">
        <v>50</v>
      </c>
      <c r="C53" s="40">
        <v>56072.402000000002</v>
      </c>
      <c r="D53" s="40">
        <v>3.0999999999999999E-3</v>
      </c>
      <c r="E53">
        <f t="shared" si="0"/>
        <v>36872.395082591196</v>
      </c>
      <c r="F53">
        <f t="shared" si="1"/>
        <v>36872.5</v>
      </c>
      <c r="G53">
        <f t="shared" si="3"/>
        <v>-7.2714499998255633E-2</v>
      </c>
      <c r="J53">
        <f>+G53</f>
        <v>-7.2714499998255633E-2</v>
      </c>
      <c r="O53">
        <f t="shared" ca="1" si="5"/>
        <v>-7.393714248971478E-2</v>
      </c>
      <c r="Q53" s="2">
        <f t="shared" si="2"/>
        <v>41053.902000000002</v>
      </c>
      <c r="R53" t="s">
        <v>59</v>
      </c>
    </row>
    <row r="54" spans="1:18" x14ac:dyDescent="0.2">
      <c r="A54" s="41" t="s">
        <v>54</v>
      </c>
      <c r="B54" s="42" t="s">
        <v>32</v>
      </c>
      <c r="C54" s="41">
        <v>56166.307970000002</v>
      </c>
      <c r="D54" s="41">
        <v>1.7000000000000001E-4</v>
      </c>
      <c r="E54">
        <f t="shared" si="0"/>
        <v>37007.888980559088</v>
      </c>
      <c r="F54">
        <f t="shared" si="1"/>
        <v>37008</v>
      </c>
      <c r="G54">
        <f t="shared" si="3"/>
        <v>-7.6943600004597101E-2</v>
      </c>
      <c r="K54">
        <f>+G54</f>
        <v>-7.6943600004597101E-2</v>
      </c>
      <c r="O54">
        <f t="shared" ca="1" si="5"/>
        <v>-7.4853762161811221E-2</v>
      </c>
      <c r="Q54" s="2">
        <f t="shared" si="2"/>
        <v>41147.807970000002</v>
      </c>
      <c r="R54" t="s">
        <v>57</v>
      </c>
    </row>
    <row r="55" spans="1:18" x14ac:dyDescent="0.2">
      <c r="A55" s="59" t="s">
        <v>175</v>
      </c>
      <c r="B55" s="60" t="s">
        <v>32</v>
      </c>
      <c r="C55" s="61">
        <v>58022.315620000008</v>
      </c>
      <c r="D55" s="61">
        <v>2.9999999999999997E-4</v>
      </c>
      <c r="E55">
        <f>+(C55-C$7)/C$8</f>
        <v>39685.86260839906</v>
      </c>
      <c r="F55">
        <f t="shared" si="1"/>
        <v>39686</v>
      </c>
      <c r="G55">
        <f>+C55-(C$7+F55*C$8)</f>
        <v>-9.522119999746792E-2</v>
      </c>
      <c r="K55">
        <f>+G55</f>
        <v>-9.522119999746792E-2</v>
      </c>
      <c r="O55">
        <f ca="1">+C$11+C$12*F55</f>
        <v>-9.2969684537267283E-2</v>
      </c>
      <c r="Q55" s="2">
        <f>+C55-15018.5</f>
        <v>43003.815620000008</v>
      </c>
      <c r="R55" t="s">
        <v>57</v>
      </c>
    </row>
    <row r="56" spans="1:18" x14ac:dyDescent="0.2">
      <c r="B56" s="17"/>
    </row>
    <row r="57" spans="1:18" x14ac:dyDescent="0.2">
      <c r="B57" s="17"/>
    </row>
    <row r="58" spans="1:18" x14ac:dyDescent="0.2">
      <c r="B58" s="17"/>
    </row>
    <row r="59" spans="1:18" x14ac:dyDescent="0.2">
      <c r="B59" s="17"/>
    </row>
    <row r="60" spans="1:18" x14ac:dyDescent="0.2">
      <c r="B60" s="17"/>
    </row>
    <row r="61" spans="1:18" x14ac:dyDescent="0.2">
      <c r="B61" s="17"/>
    </row>
    <row r="62" spans="1:18" x14ac:dyDescent="0.2">
      <c r="B62" s="17"/>
    </row>
    <row r="63" spans="1:18" x14ac:dyDescent="0.2">
      <c r="B63" s="17"/>
    </row>
    <row r="64" spans="1:18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</sheetData>
  <protectedRanges>
    <protectedRange sqref="A55:D55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2"/>
  <sheetViews>
    <sheetView workbookViewId="0">
      <selection activeCell="A28" sqref="A28:D35"/>
    </sheetView>
  </sheetViews>
  <sheetFormatPr defaultRowHeight="12.75" x14ac:dyDescent="0.2"/>
  <cols>
    <col min="1" max="1" width="19.7109375" style="44" customWidth="1"/>
    <col min="2" max="2" width="4.42578125" style="11" customWidth="1"/>
    <col min="3" max="3" width="12.7109375" style="44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44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3" t="s">
        <v>55</v>
      </c>
      <c r="I1" s="45" t="s">
        <v>56</v>
      </c>
      <c r="J1" s="46" t="s">
        <v>57</v>
      </c>
    </row>
    <row r="2" spans="1:16" x14ac:dyDescent="0.2">
      <c r="I2" s="47" t="s">
        <v>58</v>
      </c>
      <c r="J2" s="48" t="s">
        <v>59</v>
      </c>
    </row>
    <row r="3" spans="1:16" x14ac:dyDescent="0.2">
      <c r="A3" s="49" t="s">
        <v>60</v>
      </c>
      <c r="I3" s="47" t="s">
        <v>61</v>
      </c>
      <c r="J3" s="48" t="s">
        <v>62</v>
      </c>
    </row>
    <row r="4" spans="1:16" x14ac:dyDescent="0.2">
      <c r="I4" s="47" t="s">
        <v>63</v>
      </c>
      <c r="J4" s="48" t="s">
        <v>62</v>
      </c>
    </row>
    <row r="5" spans="1:16" ht="13.5" thickBot="1" x14ac:dyDescent="0.25">
      <c r="I5" s="50" t="s">
        <v>64</v>
      </c>
      <c r="J5" s="51" t="s">
        <v>65</v>
      </c>
    </row>
    <row r="10" spans="1:16" ht="13.5" thickBot="1" x14ac:dyDescent="0.25"/>
    <row r="11" spans="1:16" ht="12.75" customHeight="1" thickBot="1" x14ac:dyDescent="0.25">
      <c r="A11" s="44" t="str">
        <f t="shared" ref="A11:A35" si="0">P11</f>
        <v>IBVS 4234 </v>
      </c>
      <c r="B11" s="17" t="str">
        <f t="shared" ref="B11:B35" si="1">IF(H11=INT(H11),"I","II")</f>
        <v>II</v>
      </c>
      <c r="C11" s="44">
        <f t="shared" ref="C11:C35" si="2">1*G11</f>
        <v>49617.919900000001</v>
      </c>
      <c r="D11" s="11" t="str">
        <f t="shared" ref="D11:D35" si="3">VLOOKUP(F11,I$1:J$5,2,FALSE)</f>
        <v>vis</v>
      </c>
      <c r="E11" s="52">
        <f>VLOOKUP(C11,'Active 1'!C$21:E$973,3,FALSE)</f>
        <v>27559.430857920521</v>
      </c>
      <c r="F11" s="17" t="s">
        <v>64</v>
      </c>
      <c r="G11" s="11" t="str">
        <f t="shared" ref="G11:G35" si="4">MID(I11,3,LEN(I11)-3)</f>
        <v>49617.9199</v>
      </c>
      <c r="H11" s="44">
        <f t="shared" ref="H11:H35" si="5">1*K11</f>
        <v>27559.5</v>
      </c>
      <c r="I11" s="53" t="s">
        <v>66</v>
      </c>
      <c r="J11" s="54" t="s">
        <v>67</v>
      </c>
      <c r="K11" s="53">
        <v>27559.5</v>
      </c>
      <c r="L11" s="53" t="s">
        <v>68</v>
      </c>
      <c r="M11" s="54" t="s">
        <v>69</v>
      </c>
      <c r="N11" s="54" t="s">
        <v>70</v>
      </c>
      <c r="O11" s="55" t="s">
        <v>71</v>
      </c>
      <c r="P11" s="56" t="s">
        <v>72</v>
      </c>
    </row>
    <row r="12" spans="1:16" ht="12.75" customHeight="1" thickBot="1" x14ac:dyDescent="0.25">
      <c r="A12" s="44" t="str">
        <f t="shared" si="0"/>
        <v>IBVS 4234 </v>
      </c>
      <c r="B12" s="17" t="str">
        <f t="shared" si="1"/>
        <v>I</v>
      </c>
      <c r="C12" s="44">
        <f t="shared" si="2"/>
        <v>49618.959699999999</v>
      </c>
      <c r="D12" s="11" t="str">
        <f t="shared" si="3"/>
        <v>vis</v>
      </c>
      <c r="E12" s="52">
        <f>VLOOKUP(C12,'Active 1'!C$21:E$973,3,FALSE)</f>
        <v>27560.931151832687</v>
      </c>
      <c r="F12" s="17" t="s">
        <v>64</v>
      </c>
      <c r="G12" s="11" t="str">
        <f t="shared" si="4"/>
        <v>49618.9597</v>
      </c>
      <c r="H12" s="44">
        <f t="shared" si="5"/>
        <v>27561</v>
      </c>
      <c r="I12" s="53" t="s">
        <v>73</v>
      </c>
      <c r="J12" s="54" t="s">
        <v>74</v>
      </c>
      <c r="K12" s="53">
        <v>27561</v>
      </c>
      <c r="L12" s="53" t="s">
        <v>75</v>
      </c>
      <c r="M12" s="54" t="s">
        <v>69</v>
      </c>
      <c r="N12" s="54" t="s">
        <v>70</v>
      </c>
      <c r="O12" s="55" t="s">
        <v>71</v>
      </c>
      <c r="P12" s="56" t="s">
        <v>72</v>
      </c>
    </row>
    <row r="13" spans="1:16" ht="12.75" customHeight="1" thickBot="1" x14ac:dyDescent="0.25">
      <c r="A13" s="44" t="str">
        <f t="shared" si="0"/>
        <v>IBVS 4234 </v>
      </c>
      <c r="B13" s="17" t="str">
        <f t="shared" si="1"/>
        <v>I</v>
      </c>
      <c r="C13" s="44">
        <f t="shared" si="2"/>
        <v>49619.652800000003</v>
      </c>
      <c r="D13" s="11" t="str">
        <f t="shared" si="3"/>
        <v>vis</v>
      </c>
      <c r="E13" s="52">
        <f>VLOOKUP(C13,'Active 1'!C$21:E$973,3,FALSE)</f>
        <v>27561.931203487358</v>
      </c>
      <c r="F13" s="17" t="s">
        <v>64</v>
      </c>
      <c r="G13" s="11" t="str">
        <f t="shared" si="4"/>
        <v>49619.6528</v>
      </c>
      <c r="H13" s="44">
        <f t="shared" si="5"/>
        <v>27562</v>
      </c>
      <c r="I13" s="53" t="s">
        <v>76</v>
      </c>
      <c r="J13" s="54" t="s">
        <v>77</v>
      </c>
      <c r="K13" s="53">
        <v>27562</v>
      </c>
      <c r="L13" s="53" t="s">
        <v>75</v>
      </c>
      <c r="M13" s="54" t="s">
        <v>69</v>
      </c>
      <c r="N13" s="54" t="s">
        <v>70</v>
      </c>
      <c r="O13" s="55" t="s">
        <v>71</v>
      </c>
      <c r="P13" s="56" t="s">
        <v>72</v>
      </c>
    </row>
    <row r="14" spans="1:16" ht="12.75" customHeight="1" thickBot="1" x14ac:dyDescent="0.25">
      <c r="A14" s="44" t="str">
        <f t="shared" si="0"/>
        <v>IBVS 4234 </v>
      </c>
      <c r="B14" s="17" t="str">
        <f t="shared" si="1"/>
        <v>I</v>
      </c>
      <c r="C14" s="44">
        <f t="shared" si="2"/>
        <v>49621.732400000001</v>
      </c>
      <c r="D14" s="11" t="str">
        <f t="shared" si="3"/>
        <v>vis</v>
      </c>
      <c r="E14" s="52">
        <f>VLOOKUP(C14,'Active 1'!C$21:E$973,3,FALSE)</f>
        <v>27564.931791311687</v>
      </c>
      <c r="F14" s="17" t="s">
        <v>64</v>
      </c>
      <c r="G14" s="11" t="str">
        <f t="shared" si="4"/>
        <v>49621.7324</v>
      </c>
      <c r="H14" s="44">
        <f t="shared" si="5"/>
        <v>27565</v>
      </c>
      <c r="I14" s="53" t="s">
        <v>78</v>
      </c>
      <c r="J14" s="54" t="s">
        <v>79</v>
      </c>
      <c r="K14" s="53">
        <v>27565</v>
      </c>
      <c r="L14" s="53" t="s">
        <v>80</v>
      </c>
      <c r="M14" s="54" t="s">
        <v>69</v>
      </c>
      <c r="N14" s="54" t="s">
        <v>70</v>
      </c>
      <c r="O14" s="55" t="s">
        <v>71</v>
      </c>
      <c r="P14" s="56" t="s">
        <v>72</v>
      </c>
    </row>
    <row r="15" spans="1:16" ht="12.75" customHeight="1" thickBot="1" x14ac:dyDescent="0.25">
      <c r="A15" s="44" t="str">
        <f t="shared" si="0"/>
        <v> BBS 112 </v>
      </c>
      <c r="B15" s="17" t="str">
        <f t="shared" si="1"/>
        <v>I</v>
      </c>
      <c r="C15" s="44">
        <f t="shared" si="2"/>
        <v>50261.436600000001</v>
      </c>
      <c r="D15" s="11" t="str">
        <f t="shared" si="3"/>
        <v>vis</v>
      </c>
      <c r="E15" s="52">
        <f>VLOOKUP(C15,'Active 1'!C$21:E$973,3,FALSE)</f>
        <v>28487.940366852017</v>
      </c>
      <c r="F15" s="17" t="s">
        <v>64</v>
      </c>
      <c r="G15" s="11" t="str">
        <f t="shared" si="4"/>
        <v>50261.4366</v>
      </c>
      <c r="H15" s="44">
        <f t="shared" si="5"/>
        <v>28488</v>
      </c>
      <c r="I15" s="53" t="s">
        <v>81</v>
      </c>
      <c r="J15" s="54" t="s">
        <v>82</v>
      </c>
      <c r="K15" s="53">
        <v>28488</v>
      </c>
      <c r="L15" s="53" t="s">
        <v>83</v>
      </c>
      <c r="M15" s="54" t="s">
        <v>69</v>
      </c>
      <c r="N15" s="54" t="s">
        <v>70</v>
      </c>
      <c r="O15" s="55" t="s">
        <v>84</v>
      </c>
      <c r="P15" s="55" t="s">
        <v>85</v>
      </c>
    </row>
    <row r="16" spans="1:16" ht="12.75" customHeight="1" thickBot="1" x14ac:dyDescent="0.25">
      <c r="A16" s="44" t="str">
        <f t="shared" si="0"/>
        <v>IBVS 5287 </v>
      </c>
      <c r="B16" s="17" t="str">
        <f t="shared" si="1"/>
        <v>I</v>
      </c>
      <c r="C16" s="44">
        <f t="shared" si="2"/>
        <v>51841.615100000003</v>
      </c>
      <c r="D16" s="11" t="str">
        <f t="shared" si="3"/>
        <v>vis</v>
      </c>
      <c r="E16" s="52">
        <f>VLOOKUP(C16,'Active 1'!C$21:E$973,3,FALSE)</f>
        <v>30767.929002825425</v>
      </c>
      <c r="F16" s="17" t="s">
        <v>64</v>
      </c>
      <c r="G16" s="11" t="str">
        <f t="shared" si="4"/>
        <v>51841.6151</v>
      </c>
      <c r="H16" s="44">
        <f t="shared" si="5"/>
        <v>30768</v>
      </c>
      <c r="I16" s="53" t="s">
        <v>107</v>
      </c>
      <c r="J16" s="54" t="s">
        <v>108</v>
      </c>
      <c r="K16" s="53">
        <v>30768</v>
      </c>
      <c r="L16" s="53" t="s">
        <v>109</v>
      </c>
      <c r="M16" s="54" t="s">
        <v>69</v>
      </c>
      <c r="N16" s="54" t="s">
        <v>70</v>
      </c>
      <c r="O16" s="55" t="s">
        <v>110</v>
      </c>
      <c r="P16" s="56" t="s">
        <v>111</v>
      </c>
    </row>
    <row r="17" spans="1:16" ht="12.75" customHeight="1" thickBot="1" x14ac:dyDescent="0.25">
      <c r="A17" s="44" t="str">
        <f t="shared" si="0"/>
        <v>IBVS 5583 </v>
      </c>
      <c r="B17" s="17" t="str">
        <f t="shared" si="1"/>
        <v>I</v>
      </c>
      <c r="C17" s="44">
        <f t="shared" si="2"/>
        <v>52133.392</v>
      </c>
      <c r="D17" s="11" t="str">
        <f t="shared" si="3"/>
        <v>vis</v>
      </c>
      <c r="E17" s="52">
        <f>VLOOKUP(C17,'Active 1'!C$21:E$973,3,FALSE)</f>
        <v>31188.924489246449</v>
      </c>
      <c r="F17" s="17" t="s">
        <v>64</v>
      </c>
      <c r="G17" s="11" t="str">
        <f t="shared" si="4"/>
        <v>52133.3920</v>
      </c>
      <c r="H17" s="44">
        <f t="shared" si="5"/>
        <v>31189</v>
      </c>
      <c r="I17" s="53" t="s">
        <v>112</v>
      </c>
      <c r="J17" s="54" t="s">
        <v>113</v>
      </c>
      <c r="K17" s="53">
        <v>31189</v>
      </c>
      <c r="L17" s="53" t="s">
        <v>114</v>
      </c>
      <c r="M17" s="54" t="s">
        <v>69</v>
      </c>
      <c r="N17" s="54" t="s">
        <v>70</v>
      </c>
      <c r="O17" s="55" t="s">
        <v>110</v>
      </c>
      <c r="P17" s="56" t="s">
        <v>115</v>
      </c>
    </row>
    <row r="18" spans="1:16" ht="12.75" customHeight="1" thickBot="1" x14ac:dyDescent="0.25">
      <c r="A18" s="44" t="str">
        <f t="shared" si="0"/>
        <v>IBVS 5653 </v>
      </c>
      <c r="B18" s="17" t="str">
        <f t="shared" si="1"/>
        <v>I</v>
      </c>
      <c r="C18" s="44">
        <f t="shared" si="2"/>
        <v>53266.552900000002</v>
      </c>
      <c r="D18" s="11" t="str">
        <f t="shared" si="3"/>
        <v>vis</v>
      </c>
      <c r="E18" s="52">
        <f>VLOOKUP(C18,'Active 1'!C$21:E$973,3,FALSE)</f>
        <v>32823.925835442089</v>
      </c>
      <c r="F18" s="17" t="s">
        <v>64</v>
      </c>
      <c r="G18" s="11" t="str">
        <f t="shared" si="4"/>
        <v>53266.5529</v>
      </c>
      <c r="H18" s="44">
        <f t="shared" si="5"/>
        <v>32824</v>
      </c>
      <c r="I18" s="53" t="s">
        <v>120</v>
      </c>
      <c r="J18" s="54" t="s">
        <v>121</v>
      </c>
      <c r="K18" s="53">
        <v>32824</v>
      </c>
      <c r="L18" s="53" t="s">
        <v>122</v>
      </c>
      <c r="M18" s="54" t="s">
        <v>69</v>
      </c>
      <c r="N18" s="54" t="s">
        <v>70</v>
      </c>
      <c r="O18" s="55" t="s">
        <v>84</v>
      </c>
      <c r="P18" s="56" t="s">
        <v>123</v>
      </c>
    </row>
    <row r="19" spans="1:16" ht="12.75" customHeight="1" thickBot="1" x14ac:dyDescent="0.25">
      <c r="A19" s="44" t="str">
        <f t="shared" si="0"/>
        <v>BAVM 178 </v>
      </c>
      <c r="B19" s="17" t="str">
        <f t="shared" si="1"/>
        <v>I</v>
      </c>
      <c r="C19" s="44">
        <f t="shared" si="2"/>
        <v>53544.470999999998</v>
      </c>
      <c r="D19" s="11" t="str">
        <f t="shared" si="3"/>
        <v>vis</v>
      </c>
      <c r="E19" s="52">
        <f>VLOOKUP(C19,'Active 1'!C$21:E$973,3,FALSE)</f>
        <v>33224.92490594666</v>
      </c>
      <c r="F19" s="17" t="s">
        <v>64</v>
      </c>
      <c r="G19" s="11" t="str">
        <f t="shared" si="4"/>
        <v>53544.4710</v>
      </c>
      <c r="H19" s="44">
        <f t="shared" si="5"/>
        <v>33225</v>
      </c>
      <c r="I19" s="53" t="s">
        <v>124</v>
      </c>
      <c r="J19" s="54" t="s">
        <v>125</v>
      </c>
      <c r="K19" s="53">
        <v>33225</v>
      </c>
      <c r="L19" s="53" t="s">
        <v>126</v>
      </c>
      <c r="M19" s="54" t="s">
        <v>127</v>
      </c>
      <c r="N19" s="54" t="s">
        <v>128</v>
      </c>
      <c r="O19" s="55" t="s">
        <v>129</v>
      </c>
      <c r="P19" s="56" t="s">
        <v>130</v>
      </c>
    </row>
    <row r="20" spans="1:16" ht="12.75" customHeight="1" thickBot="1" x14ac:dyDescent="0.25">
      <c r="A20" s="44" t="str">
        <f t="shared" si="0"/>
        <v>BAVM 186 </v>
      </c>
      <c r="B20" s="17" t="str">
        <f t="shared" si="1"/>
        <v>II</v>
      </c>
      <c r="C20" s="44">
        <f t="shared" si="2"/>
        <v>54216.393700000001</v>
      </c>
      <c r="D20" s="11" t="str">
        <f t="shared" si="3"/>
        <v>vis</v>
      </c>
      <c r="E20" s="52">
        <f>VLOOKUP(C20,'Active 1'!C$21:E$973,3,FALSE)</f>
        <v>34194.420516887178</v>
      </c>
      <c r="F20" s="17" t="s">
        <v>64</v>
      </c>
      <c r="G20" s="11" t="str">
        <f t="shared" si="4"/>
        <v>54216.3937</v>
      </c>
      <c r="H20" s="44">
        <f t="shared" si="5"/>
        <v>34194.5</v>
      </c>
      <c r="I20" s="53" t="s">
        <v>131</v>
      </c>
      <c r="J20" s="54" t="s">
        <v>132</v>
      </c>
      <c r="K20" s="53" t="s">
        <v>133</v>
      </c>
      <c r="L20" s="53" t="s">
        <v>134</v>
      </c>
      <c r="M20" s="54" t="s">
        <v>127</v>
      </c>
      <c r="N20" s="54" t="s">
        <v>128</v>
      </c>
      <c r="O20" s="55" t="s">
        <v>129</v>
      </c>
      <c r="P20" s="56" t="s">
        <v>135</v>
      </c>
    </row>
    <row r="21" spans="1:16" ht="12.75" customHeight="1" thickBot="1" x14ac:dyDescent="0.25">
      <c r="A21" s="44" t="str">
        <f t="shared" si="0"/>
        <v>IBVS 6007 </v>
      </c>
      <c r="B21" s="17" t="str">
        <f t="shared" si="1"/>
        <v>I</v>
      </c>
      <c r="C21" s="44">
        <f t="shared" si="2"/>
        <v>54364.359490000003</v>
      </c>
      <c r="D21" s="11" t="str">
        <f t="shared" si="3"/>
        <v>vis</v>
      </c>
      <c r="E21" s="52">
        <f>VLOOKUP(C21,'Active 1'!C$21:E$973,3,FALSE)</f>
        <v>34407.915587040858</v>
      </c>
      <c r="F21" s="17" t="s">
        <v>64</v>
      </c>
      <c r="G21" s="11" t="str">
        <f t="shared" si="4"/>
        <v>54364.35949</v>
      </c>
      <c r="H21" s="44">
        <f t="shared" si="5"/>
        <v>34408</v>
      </c>
      <c r="I21" s="53" t="s">
        <v>136</v>
      </c>
      <c r="J21" s="54" t="s">
        <v>137</v>
      </c>
      <c r="K21" s="53" t="s">
        <v>138</v>
      </c>
      <c r="L21" s="53" t="s">
        <v>139</v>
      </c>
      <c r="M21" s="54" t="s">
        <v>127</v>
      </c>
      <c r="N21" s="54" t="s">
        <v>140</v>
      </c>
      <c r="O21" s="55" t="s">
        <v>141</v>
      </c>
      <c r="P21" s="56" t="s">
        <v>142</v>
      </c>
    </row>
    <row r="22" spans="1:16" ht="12.75" customHeight="1" thickBot="1" x14ac:dyDescent="0.25">
      <c r="A22" s="44" t="str">
        <f t="shared" si="0"/>
        <v>IBVS 6007 </v>
      </c>
      <c r="B22" s="17" t="str">
        <f t="shared" si="1"/>
        <v>I</v>
      </c>
      <c r="C22" s="44">
        <f t="shared" si="2"/>
        <v>55357.514439999999</v>
      </c>
      <c r="D22" s="11" t="str">
        <f t="shared" si="3"/>
        <v>vis</v>
      </c>
      <c r="E22" s="52">
        <f>VLOOKUP(C22,'Active 1'!C$21:E$973,3,FALSE)</f>
        <v>35840.906859710827</v>
      </c>
      <c r="F22" s="17" t="s">
        <v>64</v>
      </c>
      <c r="G22" s="11" t="str">
        <f t="shared" si="4"/>
        <v>55357.51444</v>
      </c>
      <c r="H22" s="44">
        <f t="shared" si="5"/>
        <v>35841</v>
      </c>
      <c r="I22" s="53" t="s">
        <v>143</v>
      </c>
      <c r="J22" s="54" t="s">
        <v>144</v>
      </c>
      <c r="K22" s="53" t="s">
        <v>145</v>
      </c>
      <c r="L22" s="53" t="s">
        <v>146</v>
      </c>
      <c r="M22" s="54" t="s">
        <v>127</v>
      </c>
      <c r="N22" s="54" t="s">
        <v>140</v>
      </c>
      <c r="O22" s="55" t="s">
        <v>141</v>
      </c>
      <c r="P22" s="56" t="s">
        <v>142</v>
      </c>
    </row>
    <row r="23" spans="1:16" ht="12.75" customHeight="1" thickBot="1" x14ac:dyDescent="0.25">
      <c r="A23" s="44" t="str">
        <f t="shared" si="0"/>
        <v>BAVM 220 </v>
      </c>
      <c r="B23" s="17" t="str">
        <f t="shared" si="1"/>
        <v>I</v>
      </c>
      <c r="C23" s="44">
        <f t="shared" si="2"/>
        <v>55691.567799999997</v>
      </c>
      <c r="D23" s="11" t="str">
        <f t="shared" si="3"/>
        <v>vis</v>
      </c>
      <c r="E23" s="52">
        <f>VLOOKUP(C23,'Active 1'!C$21:E$973,3,FALSE)</f>
        <v>36322.901687895574</v>
      </c>
      <c r="F23" s="17" t="s">
        <v>64</v>
      </c>
      <c r="G23" s="11" t="str">
        <f t="shared" si="4"/>
        <v>55691.5678</v>
      </c>
      <c r="H23" s="44">
        <f t="shared" si="5"/>
        <v>36323</v>
      </c>
      <c r="I23" s="53" t="s">
        <v>147</v>
      </c>
      <c r="J23" s="54" t="s">
        <v>148</v>
      </c>
      <c r="K23" s="53" t="s">
        <v>149</v>
      </c>
      <c r="L23" s="53" t="s">
        <v>150</v>
      </c>
      <c r="M23" s="54" t="s">
        <v>127</v>
      </c>
      <c r="N23" s="54" t="s">
        <v>128</v>
      </c>
      <c r="O23" s="55" t="s">
        <v>129</v>
      </c>
      <c r="P23" s="56" t="s">
        <v>151</v>
      </c>
    </row>
    <row r="24" spans="1:16" ht="12.75" customHeight="1" thickBot="1" x14ac:dyDescent="0.25">
      <c r="A24" s="44" t="str">
        <f t="shared" si="0"/>
        <v>BAVM 220 </v>
      </c>
      <c r="B24" s="17" t="str">
        <f t="shared" si="1"/>
        <v>I</v>
      </c>
      <c r="C24" s="44">
        <f t="shared" si="2"/>
        <v>55775.4274</v>
      </c>
      <c r="D24" s="11" t="str">
        <f t="shared" si="3"/>
        <v>vis</v>
      </c>
      <c r="E24" s="52">
        <f>VLOOKUP(C24,'Active 1'!C$21:E$973,3,FALSE)</f>
        <v>36443.900002337446</v>
      </c>
      <c r="F24" s="17" t="s">
        <v>64</v>
      </c>
      <c r="G24" s="11" t="str">
        <f t="shared" si="4"/>
        <v>55775.4274</v>
      </c>
      <c r="H24" s="44">
        <f t="shared" si="5"/>
        <v>36444</v>
      </c>
      <c r="I24" s="53" t="s">
        <v>152</v>
      </c>
      <c r="J24" s="54" t="s">
        <v>153</v>
      </c>
      <c r="K24" s="53" t="s">
        <v>154</v>
      </c>
      <c r="L24" s="53" t="s">
        <v>155</v>
      </c>
      <c r="M24" s="54" t="s">
        <v>127</v>
      </c>
      <c r="N24" s="54" t="s">
        <v>128</v>
      </c>
      <c r="O24" s="55" t="s">
        <v>129</v>
      </c>
      <c r="P24" s="56" t="s">
        <v>151</v>
      </c>
    </row>
    <row r="25" spans="1:16" ht="12.75" customHeight="1" thickBot="1" x14ac:dyDescent="0.25">
      <c r="A25" s="44" t="str">
        <f t="shared" si="0"/>
        <v>IBVS 6114 </v>
      </c>
      <c r="B25" s="17" t="str">
        <f t="shared" si="1"/>
        <v>I</v>
      </c>
      <c r="C25" s="44">
        <f t="shared" si="2"/>
        <v>55945.223989999999</v>
      </c>
      <c r="D25" s="11" t="str">
        <f t="shared" si="3"/>
        <v>vis</v>
      </c>
      <c r="E25" s="52">
        <f>VLOOKUP(C25,'Active 1'!C$21:E$973,3,FALSE)</f>
        <v>36688.894030307725</v>
      </c>
      <c r="F25" s="17" t="s">
        <v>64</v>
      </c>
      <c r="G25" s="11" t="str">
        <f t="shared" si="4"/>
        <v>55945.22399</v>
      </c>
      <c r="H25" s="44">
        <f t="shared" si="5"/>
        <v>36689</v>
      </c>
      <c r="I25" s="53" t="s">
        <v>161</v>
      </c>
      <c r="J25" s="54" t="s">
        <v>162</v>
      </c>
      <c r="K25" s="53" t="s">
        <v>163</v>
      </c>
      <c r="L25" s="53" t="s">
        <v>164</v>
      </c>
      <c r="M25" s="54" t="s">
        <v>127</v>
      </c>
      <c r="N25" s="54" t="s">
        <v>140</v>
      </c>
      <c r="O25" s="55" t="s">
        <v>141</v>
      </c>
      <c r="P25" s="56" t="s">
        <v>165</v>
      </c>
    </row>
    <row r="26" spans="1:16" ht="12.75" customHeight="1" thickBot="1" x14ac:dyDescent="0.25">
      <c r="A26" s="44" t="str">
        <f t="shared" si="0"/>
        <v>BAVM 231 </v>
      </c>
      <c r="B26" s="17" t="str">
        <f t="shared" si="1"/>
        <v>II</v>
      </c>
      <c r="C26" s="44">
        <f t="shared" si="2"/>
        <v>56072.402000000002</v>
      </c>
      <c r="D26" s="11" t="str">
        <f t="shared" si="3"/>
        <v>vis</v>
      </c>
      <c r="E26" s="52">
        <f>VLOOKUP(C26,'Active 1'!C$21:E$973,3,FALSE)</f>
        <v>36872.395082591196</v>
      </c>
      <c r="F26" s="17" t="s">
        <v>64</v>
      </c>
      <c r="G26" s="11" t="str">
        <f t="shared" si="4"/>
        <v>56072.4020</v>
      </c>
      <c r="H26" s="44">
        <f t="shared" si="5"/>
        <v>36872.5</v>
      </c>
      <c r="I26" s="53" t="s">
        <v>166</v>
      </c>
      <c r="J26" s="54" t="s">
        <v>167</v>
      </c>
      <c r="K26" s="53" t="s">
        <v>168</v>
      </c>
      <c r="L26" s="53" t="s">
        <v>169</v>
      </c>
      <c r="M26" s="54" t="s">
        <v>127</v>
      </c>
      <c r="N26" s="54" t="s">
        <v>128</v>
      </c>
      <c r="O26" s="55" t="s">
        <v>129</v>
      </c>
      <c r="P26" s="56" t="s">
        <v>170</v>
      </c>
    </row>
    <row r="27" spans="1:16" ht="12.75" customHeight="1" thickBot="1" x14ac:dyDescent="0.25">
      <c r="A27" s="44" t="str">
        <f t="shared" si="0"/>
        <v>IBVS 6114 </v>
      </c>
      <c r="B27" s="17" t="str">
        <f t="shared" si="1"/>
        <v>I</v>
      </c>
      <c r="C27" s="44">
        <f t="shared" si="2"/>
        <v>56166.307970000002</v>
      </c>
      <c r="D27" s="11" t="str">
        <f t="shared" si="3"/>
        <v>vis</v>
      </c>
      <c r="E27" s="52">
        <f>VLOOKUP(C27,'Active 1'!C$21:E$973,3,FALSE)</f>
        <v>37007.888980559088</v>
      </c>
      <c r="F27" s="17" t="s">
        <v>64</v>
      </c>
      <c r="G27" s="11" t="str">
        <f t="shared" si="4"/>
        <v>56166.30797</v>
      </c>
      <c r="H27" s="44">
        <f t="shared" si="5"/>
        <v>37008</v>
      </c>
      <c r="I27" s="53" t="s">
        <v>171</v>
      </c>
      <c r="J27" s="54" t="s">
        <v>172</v>
      </c>
      <c r="K27" s="53" t="s">
        <v>173</v>
      </c>
      <c r="L27" s="53" t="s">
        <v>174</v>
      </c>
      <c r="M27" s="54" t="s">
        <v>127</v>
      </c>
      <c r="N27" s="54" t="s">
        <v>140</v>
      </c>
      <c r="O27" s="55" t="s">
        <v>141</v>
      </c>
      <c r="P27" s="56" t="s">
        <v>165</v>
      </c>
    </row>
    <row r="28" spans="1:16" ht="12.75" customHeight="1" thickBot="1" x14ac:dyDescent="0.25">
      <c r="A28" s="44" t="str">
        <f t="shared" si="0"/>
        <v> BBS 123 </v>
      </c>
      <c r="B28" s="17" t="str">
        <f t="shared" si="1"/>
        <v>I</v>
      </c>
      <c r="C28" s="44">
        <f t="shared" si="2"/>
        <v>51080.633000000002</v>
      </c>
      <c r="D28" s="11" t="str">
        <f t="shared" si="3"/>
        <v>vis</v>
      </c>
      <c r="E28" s="52">
        <f>VLOOKUP(C28,'Active 1'!C$21:E$973,3,FALSE)</f>
        <v>29669.932453587997</v>
      </c>
      <c r="F28" s="17" t="s">
        <v>64</v>
      </c>
      <c r="G28" s="11" t="str">
        <f t="shared" si="4"/>
        <v>51080.633</v>
      </c>
      <c r="H28" s="44">
        <f t="shared" si="5"/>
        <v>29670</v>
      </c>
      <c r="I28" s="53" t="s">
        <v>86</v>
      </c>
      <c r="J28" s="54" t="s">
        <v>87</v>
      </c>
      <c r="K28" s="53">
        <v>29670</v>
      </c>
      <c r="L28" s="53" t="s">
        <v>88</v>
      </c>
      <c r="M28" s="54" t="s">
        <v>89</v>
      </c>
      <c r="N28" s="54"/>
      <c r="O28" s="55" t="s">
        <v>90</v>
      </c>
      <c r="P28" s="55" t="s">
        <v>91</v>
      </c>
    </row>
    <row r="29" spans="1:16" ht="12.75" customHeight="1" thickBot="1" x14ac:dyDescent="0.25">
      <c r="A29" s="44" t="str">
        <f t="shared" si="0"/>
        <v> BBS 123 </v>
      </c>
      <c r="B29" s="17" t="str">
        <f t="shared" si="1"/>
        <v>I</v>
      </c>
      <c r="C29" s="44">
        <f t="shared" si="2"/>
        <v>51112.51</v>
      </c>
      <c r="D29" s="11" t="str">
        <f t="shared" si="3"/>
        <v>vis</v>
      </c>
      <c r="E29" s="52">
        <f>VLOOKUP(C29,'Active 1'!C$21:E$973,3,FALSE)</f>
        <v>29715.926749643109</v>
      </c>
      <c r="F29" s="17" t="s">
        <v>64</v>
      </c>
      <c r="G29" s="11" t="str">
        <f t="shared" si="4"/>
        <v>51112.510</v>
      </c>
      <c r="H29" s="44">
        <f t="shared" si="5"/>
        <v>29716</v>
      </c>
      <c r="I29" s="53" t="s">
        <v>92</v>
      </c>
      <c r="J29" s="54" t="s">
        <v>93</v>
      </c>
      <c r="K29" s="53">
        <v>29716</v>
      </c>
      <c r="L29" s="53" t="s">
        <v>94</v>
      </c>
      <c r="M29" s="54" t="s">
        <v>89</v>
      </c>
      <c r="N29" s="54"/>
      <c r="O29" s="55" t="s">
        <v>90</v>
      </c>
      <c r="P29" s="55" t="s">
        <v>91</v>
      </c>
    </row>
    <row r="30" spans="1:16" ht="12.75" customHeight="1" thickBot="1" x14ac:dyDescent="0.25">
      <c r="A30" s="44" t="str">
        <f t="shared" si="0"/>
        <v> BBS 123 </v>
      </c>
      <c r="B30" s="17" t="str">
        <f t="shared" si="1"/>
        <v>I</v>
      </c>
      <c r="C30" s="44">
        <f t="shared" si="2"/>
        <v>51157.563999999998</v>
      </c>
      <c r="D30" s="11" t="str">
        <f t="shared" si="3"/>
        <v>vis</v>
      </c>
      <c r="E30" s="52">
        <f>VLOOKUP(C30,'Active 1'!C$21:E$973,3,FALSE)</f>
        <v>29780.933714365852</v>
      </c>
      <c r="F30" s="17" t="s">
        <v>64</v>
      </c>
      <c r="G30" s="11" t="str">
        <f t="shared" si="4"/>
        <v>51157.564</v>
      </c>
      <c r="H30" s="44">
        <f t="shared" si="5"/>
        <v>29781</v>
      </c>
      <c r="I30" s="53" t="s">
        <v>95</v>
      </c>
      <c r="J30" s="54" t="s">
        <v>96</v>
      </c>
      <c r="K30" s="53">
        <v>29781</v>
      </c>
      <c r="L30" s="53" t="s">
        <v>97</v>
      </c>
      <c r="M30" s="54" t="s">
        <v>89</v>
      </c>
      <c r="N30" s="54"/>
      <c r="O30" s="55" t="s">
        <v>90</v>
      </c>
      <c r="P30" s="55" t="s">
        <v>91</v>
      </c>
    </row>
    <row r="31" spans="1:16" ht="12.75" customHeight="1" thickBot="1" x14ac:dyDescent="0.25">
      <c r="A31" s="44" t="str">
        <f t="shared" si="0"/>
        <v> BBS 123 </v>
      </c>
      <c r="B31" s="17" t="str">
        <f t="shared" si="1"/>
        <v>I</v>
      </c>
      <c r="C31" s="44">
        <f t="shared" si="2"/>
        <v>51159.644</v>
      </c>
      <c r="D31" s="11" t="str">
        <f t="shared" si="3"/>
        <v>vis</v>
      </c>
      <c r="E31" s="52">
        <f>VLOOKUP(C31,'Active 1'!C$21:E$973,3,FALSE)</f>
        <v>29783.934879337296</v>
      </c>
      <c r="F31" s="17" t="s">
        <v>64</v>
      </c>
      <c r="G31" s="11" t="str">
        <f t="shared" si="4"/>
        <v>51159.644</v>
      </c>
      <c r="H31" s="44">
        <f t="shared" si="5"/>
        <v>29784</v>
      </c>
      <c r="I31" s="53" t="s">
        <v>98</v>
      </c>
      <c r="J31" s="54" t="s">
        <v>99</v>
      </c>
      <c r="K31" s="53">
        <v>29784</v>
      </c>
      <c r="L31" s="53" t="s">
        <v>100</v>
      </c>
      <c r="M31" s="54" t="s">
        <v>89</v>
      </c>
      <c r="N31" s="54"/>
      <c r="O31" s="55" t="s">
        <v>90</v>
      </c>
      <c r="P31" s="55" t="s">
        <v>91</v>
      </c>
    </row>
    <row r="32" spans="1:16" ht="12.75" customHeight="1" thickBot="1" x14ac:dyDescent="0.25">
      <c r="A32" s="44" t="str">
        <f t="shared" si="0"/>
        <v> BBS 123 </v>
      </c>
      <c r="B32" s="17" t="str">
        <f t="shared" si="1"/>
        <v>I</v>
      </c>
      <c r="C32" s="44">
        <f t="shared" si="2"/>
        <v>51166.574999999997</v>
      </c>
      <c r="D32" s="11" t="str">
        <f t="shared" si="3"/>
        <v>vis</v>
      </c>
      <c r="E32" s="52">
        <f>VLOOKUP(C32,'Active 1'!C$21:E$973,3,FALSE)</f>
        <v>29793.935395883957</v>
      </c>
      <c r="F32" s="17" t="s">
        <v>64</v>
      </c>
      <c r="G32" s="11" t="str">
        <f t="shared" si="4"/>
        <v>51166.575</v>
      </c>
      <c r="H32" s="44">
        <f t="shared" si="5"/>
        <v>29794</v>
      </c>
      <c r="I32" s="53" t="s">
        <v>101</v>
      </c>
      <c r="J32" s="54" t="s">
        <v>102</v>
      </c>
      <c r="K32" s="53">
        <v>29794</v>
      </c>
      <c r="L32" s="53" t="s">
        <v>100</v>
      </c>
      <c r="M32" s="54" t="s">
        <v>89</v>
      </c>
      <c r="N32" s="54"/>
      <c r="O32" s="55" t="s">
        <v>90</v>
      </c>
      <c r="P32" s="55" t="s">
        <v>91</v>
      </c>
    </row>
    <row r="33" spans="1:16" ht="12.75" customHeight="1" thickBot="1" x14ac:dyDescent="0.25">
      <c r="A33" s="44" t="str">
        <f t="shared" si="0"/>
        <v> BBS 124 </v>
      </c>
      <c r="B33" s="17" t="str">
        <f t="shared" si="1"/>
        <v>I</v>
      </c>
      <c r="C33" s="44">
        <f t="shared" si="2"/>
        <v>51839.531000000003</v>
      </c>
      <c r="D33" s="11" t="str">
        <f t="shared" si="3"/>
        <v>vis</v>
      </c>
      <c r="E33" s="52">
        <f>VLOOKUP(C33,'Active 1'!C$21:E$973,3,FALSE)</f>
        <v>30764.921922096109</v>
      </c>
      <c r="F33" s="17" t="s">
        <v>64</v>
      </c>
      <c r="G33" s="11" t="str">
        <f t="shared" si="4"/>
        <v>51839.531</v>
      </c>
      <c r="H33" s="44">
        <f t="shared" si="5"/>
        <v>30765</v>
      </c>
      <c r="I33" s="53" t="s">
        <v>103</v>
      </c>
      <c r="J33" s="54" t="s">
        <v>104</v>
      </c>
      <c r="K33" s="53">
        <v>30765</v>
      </c>
      <c r="L33" s="53" t="s">
        <v>105</v>
      </c>
      <c r="M33" s="54" t="s">
        <v>89</v>
      </c>
      <c r="N33" s="54"/>
      <c r="O33" s="55" t="s">
        <v>90</v>
      </c>
      <c r="P33" s="55" t="s">
        <v>106</v>
      </c>
    </row>
    <row r="34" spans="1:16" ht="12.75" customHeight="1" thickBot="1" x14ac:dyDescent="0.25">
      <c r="A34" s="44" t="str">
        <f t="shared" si="0"/>
        <v> BBS 126 </v>
      </c>
      <c r="B34" s="17" t="str">
        <f t="shared" si="1"/>
        <v>I</v>
      </c>
      <c r="C34" s="44">
        <f t="shared" si="2"/>
        <v>52135.473299999998</v>
      </c>
      <c r="D34" s="11" t="str">
        <f t="shared" si="3"/>
        <v>vis</v>
      </c>
      <c r="E34" s="52">
        <f>VLOOKUP(C34,'Active 1'!C$21:E$973,3,FALSE)</f>
        <v>31191.927529945995</v>
      </c>
      <c r="F34" s="17" t="s">
        <v>64</v>
      </c>
      <c r="G34" s="11" t="str">
        <f t="shared" si="4"/>
        <v>52135.4733</v>
      </c>
      <c r="H34" s="44">
        <f t="shared" si="5"/>
        <v>31192</v>
      </c>
      <c r="I34" s="53" t="s">
        <v>116</v>
      </c>
      <c r="J34" s="54" t="s">
        <v>117</v>
      </c>
      <c r="K34" s="53">
        <v>31192</v>
      </c>
      <c r="L34" s="53" t="s">
        <v>118</v>
      </c>
      <c r="M34" s="54" t="s">
        <v>69</v>
      </c>
      <c r="N34" s="54" t="s">
        <v>70</v>
      </c>
      <c r="O34" s="55" t="s">
        <v>84</v>
      </c>
      <c r="P34" s="55" t="s">
        <v>119</v>
      </c>
    </row>
    <row r="35" spans="1:16" ht="12.75" customHeight="1" thickBot="1" x14ac:dyDescent="0.25">
      <c r="A35" s="44" t="str">
        <f t="shared" si="0"/>
        <v>BAVM 225 </v>
      </c>
      <c r="B35" s="17" t="str">
        <f t="shared" si="1"/>
        <v>II</v>
      </c>
      <c r="C35" s="44">
        <f t="shared" si="2"/>
        <v>55787.555099999998</v>
      </c>
      <c r="D35" s="11" t="str">
        <f t="shared" si="3"/>
        <v>vis</v>
      </c>
      <c r="E35" s="52">
        <f>VLOOKUP(C35,'Active 1'!C$21:E$973,3,FALSE)</f>
        <v>36461.398669849048</v>
      </c>
      <c r="F35" s="17" t="s">
        <v>64</v>
      </c>
      <c r="G35" s="11" t="str">
        <f t="shared" si="4"/>
        <v>55787.5551</v>
      </c>
      <c r="H35" s="44">
        <f t="shared" si="5"/>
        <v>36461.5</v>
      </c>
      <c r="I35" s="53" t="s">
        <v>156</v>
      </c>
      <c r="J35" s="54" t="s">
        <v>157</v>
      </c>
      <c r="K35" s="53" t="s">
        <v>158</v>
      </c>
      <c r="L35" s="53" t="s">
        <v>159</v>
      </c>
      <c r="M35" s="54" t="s">
        <v>127</v>
      </c>
      <c r="N35" s="54" t="s">
        <v>128</v>
      </c>
      <c r="O35" s="55" t="s">
        <v>129</v>
      </c>
      <c r="P35" s="56" t="s">
        <v>160</v>
      </c>
    </row>
    <row r="36" spans="1:16" x14ac:dyDescent="0.2">
      <c r="B36" s="17"/>
      <c r="F36" s="17"/>
    </row>
    <row r="37" spans="1:16" x14ac:dyDescent="0.2">
      <c r="B37" s="17"/>
      <c r="F37" s="17"/>
    </row>
    <row r="38" spans="1:16" x14ac:dyDescent="0.2">
      <c r="B38" s="17"/>
      <c r="F38" s="17"/>
    </row>
    <row r="39" spans="1:16" x14ac:dyDescent="0.2">
      <c r="B39" s="17"/>
      <c r="F39" s="17"/>
    </row>
    <row r="40" spans="1:16" x14ac:dyDescent="0.2">
      <c r="B40" s="17"/>
      <c r="F40" s="17"/>
    </row>
    <row r="41" spans="1:16" x14ac:dyDescent="0.2">
      <c r="B41" s="17"/>
      <c r="F41" s="17"/>
    </row>
    <row r="42" spans="1:16" x14ac:dyDescent="0.2">
      <c r="B42" s="17"/>
      <c r="F42" s="17"/>
    </row>
    <row r="43" spans="1:16" x14ac:dyDescent="0.2">
      <c r="B43" s="17"/>
      <c r="F43" s="17"/>
    </row>
    <row r="44" spans="1:16" x14ac:dyDescent="0.2">
      <c r="B44" s="17"/>
      <c r="F44" s="17"/>
    </row>
    <row r="45" spans="1:16" x14ac:dyDescent="0.2">
      <c r="B45" s="17"/>
      <c r="F45" s="17"/>
    </row>
    <row r="46" spans="1:16" x14ac:dyDescent="0.2">
      <c r="B46" s="17"/>
      <c r="F46" s="17"/>
    </row>
    <row r="47" spans="1:16" x14ac:dyDescent="0.2">
      <c r="B47" s="17"/>
      <c r="F47" s="17"/>
    </row>
    <row r="48" spans="1:1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</sheetData>
  <phoneticPr fontId="7" type="noConversion"/>
  <hyperlinks>
    <hyperlink ref="P11" r:id="rId1" display="http://www.konkoly.hu/cgi-bin/IBVS?4234"/>
    <hyperlink ref="P12" r:id="rId2" display="http://www.konkoly.hu/cgi-bin/IBVS?4234"/>
    <hyperlink ref="P13" r:id="rId3" display="http://www.konkoly.hu/cgi-bin/IBVS?4234"/>
    <hyperlink ref="P14" r:id="rId4" display="http://www.konkoly.hu/cgi-bin/IBVS?4234"/>
    <hyperlink ref="P16" r:id="rId5" display="http://www.konkoly.hu/cgi-bin/IBVS?5287"/>
    <hyperlink ref="P17" r:id="rId6" display="http://www.konkoly.hu/cgi-bin/IBVS?5583"/>
    <hyperlink ref="P18" r:id="rId7" display="http://www.konkoly.hu/cgi-bin/IBVS?5653"/>
    <hyperlink ref="P19" r:id="rId8" display="http://www.bav-astro.de/sfs/BAVM_link.php?BAVMnr=178"/>
    <hyperlink ref="P20" r:id="rId9" display="http://www.bav-astro.de/sfs/BAVM_link.php?BAVMnr=186"/>
    <hyperlink ref="P21" r:id="rId10" display="http://www.konkoly.hu/cgi-bin/IBVS?6007"/>
    <hyperlink ref="P22" r:id="rId11" display="http://www.konkoly.hu/cgi-bin/IBVS?6007"/>
    <hyperlink ref="P23" r:id="rId12" display="http://www.bav-astro.de/sfs/BAVM_link.php?BAVMnr=220"/>
    <hyperlink ref="P24" r:id="rId13" display="http://www.bav-astro.de/sfs/BAVM_link.php?BAVMnr=220"/>
    <hyperlink ref="P35" r:id="rId14" display="http://www.bav-astro.de/sfs/BAVM_link.php?BAVMnr=225"/>
    <hyperlink ref="P25" r:id="rId15" display="http://www.konkoly.hu/cgi-bin/IBVS?6114"/>
    <hyperlink ref="P26" r:id="rId16" display="http://www.bav-astro.de/sfs/BAVM_link.php?BAVMnr=231"/>
    <hyperlink ref="P27" r:id="rId17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2024-01-23T03:37:05Z</dcterms:modified>
</cp:coreProperties>
</file>