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8408EF3-9A51-49C5-9585-55E35C48C574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5" i="1"/>
  <c r="F25" i="1"/>
  <c r="G25" i="1"/>
  <c r="J25" i="1"/>
  <c r="E26" i="1"/>
  <c r="F26" i="1"/>
  <c r="G26" i="1"/>
  <c r="J26" i="1"/>
  <c r="E22" i="1"/>
  <c r="F22" i="1"/>
  <c r="G22" i="1"/>
  <c r="J22" i="1"/>
  <c r="E23" i="1"/>
  <c r="F23" i="1"/>
  <c r="G23" i="1"/>
  <c r="J23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4" i="1"/>
  <c r="F34" i="1"/>
  <c r="G34" i="1"/>
  <c r="J34" i="1"/>
  <c r="E35" i="1"/>
  <c r="F35" i="1"/>
  <c r="G35" i="1"/>
  <c r="J35" i="1"/>
  <c r="E37" i="1"/>
  <c r="F37" i="1"/>
  <c r="G37" i="1"/>
  <c r="J37" i="1"/>
  <c r="E21" i="1"/>
  <c r="F21" i="1"/>
  <c r="G21" i="1"/>
  <c r="J21" i="1"/>
  <c r="E24" i="1"/>
  <c r="F24" i="1"/>
  <c r="G24" i="1"/>
  <c r="J24" i="1"/>
  <c r="E27" i="1"/>
  <c r="F27" i="1"/>
  <c r="G27" i="1"/>
  <c r="I27" i="1"/>
  <c r="E28" i="1"/>
  <c r="F28" i="1"/>
  <c r="G28" i="1"/>
  <c r="I28" i="1"/>
  <c r="E33" i="1"/>
  <c r="F33" i="1"/>
  <c r="G33" i="1"/>
  <c r="I33" i="1"/>
  <c r="E36" i="1"/>
  <c r="F36" i="1"/>
  <c r="G36" i="1"/>
  <c r="I36" i="1"/>
  <c r="D9" i="1"/>
  <c r="C9" i="1"/>
  <c r="Q36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7" i="1"/>
  <c r="C17" i="1"/>
  <c r="Q26" i="1"/>
  <c r="Q25" i="1"/>
  <c r="Q21" i="1"/>
  <c r="Q22" i="1"/>
  <c r="Q23" i="1"/>
  <c r="Q27" i="1"/>
  <c r="Q28" i="1"/>
  <c r="Q29" i="1"/>
  <c r="Q30" i="1"/>
  <c r="Q31" i="1"/>
  <c r="Q32" i="1"/>
  <c r="Q33" i="1"/>
  <c r="Q34" i="1"/>
  <c r="Q35" i="1"/>
  <c r="Q37" i="1"/>
  <c r="Q24" i="1"/>
  <c r="C11" i="1"/>
  <c r="C12" i="1"/>
  <c r="C16" i="1" l="1"/>
  <c r="D18" i="1" s="1"/>
  <c r="O23" i="1"/>
  <c r="O21" i="1"/>
  <c r="O22" i="1"/>
  <c r="O26" i="1"/>
  <c r="O33" i="1"/>
  <c r="O36" i="1"/>
  <c r="O34" i="1"/>
  <c r="O31" i="1"/>
  <c r="O27" i="1"/>
  <c r="O37" i="1"/>
  <c r="O24" i="1"/>
  <c r="C15" i="1"/>
  <c r="O32" i="1"/>
  <c r="O30" i="1"/>
  <c r="O25" i="1"/>
  <c r="O29" i="1"/>
  <c r="O28" i="1"/>
  <c r="O35" i="1"/>
  <c r="C18" i="1" l="1"/>
  <c r="F18" i="1"/>
  <c r="F19" i="1" s="1"/>
</calcChain>
</file>

<file path=xl/sharedStrings.xml><?xml version="1.0" encoding="utf-8"?>
<sst xmlns="http://schemas.openxmlformats.org/spreadsheetml/2006/main" count="215" uniqueCount="124">
  <si>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</si>
  <si>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</si>
  <si>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</si>
  <si>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</si>
  <si>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</si>
  <si>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</si>
  <si>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</si>
  <si>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</si>
  <si>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</si>
  <si>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</si>
  <si>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</si>
  <si>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</si>
  <si>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</si>
  <si>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</si>
  <si>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</si>
  <si>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</si>
  <si>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</si>
  <si>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</si>
  <si>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</si>
  <si>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</si>
  <si>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</si>
  <si>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</si>
  <si>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</si>
  <si>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</si>
  <si>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</si>
  <si>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</si>
  <si>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</si>
  <si>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</si>
  <si>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</si>
  <si>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AP SP SCI 198,137</t>
  </si>
  <si>
    <t>K</t>
  </si>
  <si>
    <t>IBVS 1882</t>
  </si>
  <si>
    <t>pg</t>
  </si>
  <si>
    <t>BAV-M 46</t>
  </si>
  <si>
    <t>V</t>
  </si>
  <si>
    <t>B</t>
  </si>
  <si>
    <t>:</t>
  </si>
  <si>
    <t>BAV-M 52</t>
  </si>
  <si>
    <t>I</t>
  </si>
  <si>
    <t>R</t>
  </si>
  <si>
    <t>Ahn 1992</t>
  </si>
  <si>
    <t># of data points:</t>
  </si>
  <si>
    <t>NY Cep / GSC 04282-00468</t>
  </si>
  <si>
    <t>EA/DM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</si>
  <si>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</si>
  <si>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</si>
  <si>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</si>
  <si>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</si>
  <si>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</si>
  <si>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</si>
  <si>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</si>
  <si>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</si>
  <si>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</si>
  <si>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</si>
  <si>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</si>
  <si>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</si>
  <si>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</si>
  <si>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</si>
  <si>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vis</t>
  </si>
  <si>
    <t>F </t>
  </si>
  <si>
    <t>2438069.643 </t>
  </si>
  <si>
    <t> 09.02.1963 03:25 </t>
  </si>
  <si>
    <t> 0.037 </t>
  </si>
  <si>
    <t>E </t>
  </si>
  <si>
    <t>G</t>
  </si>
  <si>
    <t> Heard &amp; Fernie </t>
  </si>
  <si>
    <t> ASS 198.137 </t>
  </si>
  <si>
    <t>2441170.587 </t>
  </si>
  <si>
    <t> 07.08.1971 02:05 </t>
  </si>
  <si>
    <t> 0.008 </t>
  </si>
  <si>
    <t> Madore &amp; Percy </t>
  </si>
  <si>
    <t>2441185.85 </t>
  </si>
  <si>
    <t> 22.08.1971 08:24 </t>
  </si>
  <si>
    <t> -0.00 </t>
  </si>
  <si>
    <t> N.K.Rao </t>
  </si>
  <si>
    <t> PASP 84.563 </t>
  </si>
  <si>
    <t>2441903.8136 </t>
  </si>
  <si>
    <t> 09.08.1973 07:31 </t>
  </si>
  <si>
    <t> 0.0000 </t>
  </si>
  <si>
    <t>?</t>
  </si>
  <si>
    <t> Scarfe &amp; Barlow </t>
  </si>
  <si>
    <t> JRAC 68.96 </t>
  </si>
  <si>
    <t>2442682.867 </t>
  </si>
  <si>
    <t> 27.09.1975 08:48 </t>
  </si>
  <si>
    <t> -0.009 </t>
  </si>
  <si>
    <t> C.D.Scarfe </t>
  </si>
  <si>
    <t> JRAC 73.258 </t>
  </si>
  <si>
    <t>2443813.282 </t>
  </si>
  <si>
    <t> 31.10.1978 18:46 </t>
  </si>
  <si>
    <t> 0.003 </t>
  </si>
  <si>
    <t> P.Mayer et al. </t>
  </si>
  <si>
    <t>IBVS 1523 </t>
  </si>
  <si>
    <t>2444515.9630 </t>
  </si>
  <si>
    <t> 03.10.1980 11:06 </t>
  </si>
  <si>
    <t> 0.0001 </t>
  </si>
  <si>
    <t> Barlow &amp; Forbes </t>
  </si>
  <si>
    <t>IBVS 1882 </t>
  </si>
  <si>
    <t>2445646.367 </t>
  </si>
  <si>
    <t> 07.11.1983 20:48 </t>
  </si>
  <si>
    <t> 0.000 </t>
  </si>
  <si>
    <t> P.Frank </t>
  </si>
  <si>
    <t>BAVM 46 </t>
  </si>
  <si>
    <t>2447128.0771 </t>
  </si>
  <si>
    <t> 28.11.1987 13:51 </t>
  </si>
  <si>
    <t> -0.0351 </t>
  </si>
  <si>
    <t> Y.S.Ahn </t>
  </si>
  <si>
    <t>2447128.0812 </t>
  </si>
  <si>
    <t> 28.11.1987 13:56 </t>
  </si>
  <si>
    <t> -0.0310 </t>
  </si>
  <si>
    <t>2447464.1582 </t>
  </si>
  <si>
    <t> 29.10.1988 15:47 </t>
  </si>
  <si>
    <t> -0.0200 </t>
  </si>
  <si>
    <t>2447464.1603 </t>
  </si>
  <si>
    <t> 29.10.1988 15:50 </t>
  </si>
  <si>
    <t> -0.0179 </t>
  </si>
  <si>
    <t>2447540.538 </t>
  </si>
  <si>
    <t> 14.01.1989 00:54 </t>
  </si>
  <si>
    <t> -0.019 </t>
  </si>
  <si>
    <t>BAVM 52 </t>
  </si>
  <si>
    <t>2448182.1255 </t>
  </si>
  <si>
    <t> 17.10.1990 15:00 </t>
  </si>
  <si>
    <t> -0.0119 </t>
  </si>
  <si>
    <t>*Ahn 1992, Ap&amp;SS.198..137A</t>
  </si>
  <si>
    <t>Ahn 1992*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</si>
</sst>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NY Cep - O-C Diagr.</a:t>
            </a:r>
          </a:p>
        </c:rich>
      </c:tx>
      <c:layout>
        <c:manualLayout>
          <c:xMode val="edge"/>
          <c:yMode val="edge"/>
          <c:x val="0.353166986564299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14779270633398"/>
          <c:y val="0.14769252958613219"/>
          <c:w val="0.7850287907869482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5C-44D4-80F8-D5C508F7C85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  <c:pt idx="6">
                  <c:v>8.2999998994637281E-5</c:v>
                </c:pt>
                <c:pt idx="7">
                  <c:v>2.8499999461928383E-4</c:v>
                </c:pt>
                <c:pt idx="12">
                  <c:v>-1.8863000004785135E-2</c:v>
                </c:pt>
                <c:pt idx="15">
                  <c:v>-1.1896999996679369E-2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C-44D4-80F8-D5C508F7C85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  <c:pt idx="0">
                  <c:v>3.6876999991363846E-2</c:v>
                </c:pt>
                <c:pt idx="1">
                  <c:v>8.2959999999729916E-3</c:v>
                </c:pt>
                <c:pt idx="2">
                  <c:v>-4.4310000012046658E-3</c:v>
                </c:pt>
                <c:pt idx="3">
                  <c:v>0</c:v>
                </c:pt>
                <c:pt idx="4">
                  <c:v>-8.6770000052638352E-3</c:v>
                </c:pt>
                <c:pt idx="5">
                  <c:v>2.5249999962397851E-3</c:v>
                </c:pt>
                <c:pt idx="8">
                  <c:v>-3.5133999997924548E-2</c:v>
                </c:pt>
                <c:pt idx="9">
                  <c:v>-3.1033999999635853E-2</c:v>
                </c:pt>
                <c:pt idx="10">
                  <c:v>-2.002800000627758E-2</c:v>
                </c:pt>
                <c:pt idx="11">
                  <c:v>-1.7928000001120381E-2</c:v>
                </c:pt>
                <c:pt idx="13">
                  <c:v>-2.2496999998111278E-2</c:v>
                </c:pt>
                <c:pt idx="14">
                  <c:v>-1.7996999995375518E-2</c:v>
                </c:pt>
                <c:pt idx="16">
                  <c:v>4.903000000922475E-3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5C-44D4-80F8-D5C508F7C85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5C-44D4-80F8-D5C508F7C85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5C-44D4-80F8-D5C508F7C85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5C-44D4-80F8-D5C508F7C85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3">
                    <c:v>0</c:v>
                  </c:pt>
                  <c:pt idx="12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5C-44D4-80F8-D5C508F7C85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-251</c:v>
                </c:pt>
                <c:pt idx="1">
                  <c:v>-48</c:v>
                </c:pt>
                <c:pt idx="2">
                  <c:v>-47</c:v>
                </c:pt>
                <c:pt idx="3">
                  <c:v>0</c:v>
                </c:pt>
                <c:pt idx="4">
                  <c:v>51</c:v>
                </c:pt>
                <c:pt idx="5">
                  <c:v>125</c:v>
                </c:pt>
                <c:pt idx="6">
                  <c:v>171</c:v>
                </c:pt>
                <c:pt idx="7">
                  <c:v>245</c:v>
                </c:pt>
                <c:pt idx="8">
                  <c:v>342</c:v>
                </c:pt>
                <c:pt idx="9">
                  <c:v>342</c:v>
                </c:pt>
                <c:pt idx="10">
                  <c:v>364</c:v>
                </c:pt>
                <c:pt idx="11">
                  <c:v>364</c:v>
                </c:pt>
                <c:pt idx="12">
                  <c:v>369</c:v>
                </c:pt>
                <c:pt idx="13">
                  <c:v>411</c:v>
                </c:pt>
                <c:pt idx="14">
                  <c:v>411</c:v>
                </c:pt>
                <c:pt idx="15">
                  <c:v>411</c:v>
                </c:pt>
                <c:pt idx="16">
                  <c:v>411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2.1099741570417635E-2</c:v>
                </c:pt>
                <c:pt idx="1">
                  <c:v>8.4611475713703838E-3</c:v>
                </c:pt>
                <c:pt idx="2">
                  <c:v>8.3988884876312342E-3</c:v>
                </c:pt>
                <c:pt idx="3">
                  <c:v>5.4727115518912305E-3</c:v>
                </c:pt>
                <c:pt idx="4">
                  <c:v>2.2974982811946303E-3</c:v>
                </c:pt>
                <c:pt idx="5">
                  <c:v>-2.3096739155023978E-3</c:v>
                </c:pt>
                <c:pt idx="6">
                  <c:v>-5.1735917675032536E-3</c:v>
                </c:pt>
                <c:pt idx="7">
                  <c:v>-9.78076396420028E-3</c:v>
                </c:pt>
                <c:pt idx="8">
                  <c:v>-1.5819895086897739E-2</c:v>
                </c:pt>
                <c:pt idx="9">
                  <c:v>-1.5819895086897739E-2</c:v>
                </c:pt>
                <c:pt idx="10">
                  <c:v>-1.7189594929159016E-2</c:v>
                </c:pt>
                <c:pt idx="11">
                  <c:v>-1.7189594929159016E-2</c:v>
                </c:pt>
                <c:pt idx="12">
                  <c:v>-1.7500890347854757E-2</c:v>
                </c:pt>
                <c:pt idx="13">
                  <c:v>-2.0115771864899018E-2</c:v>
                </c:pt>
                <c:pt idx="14">
                  <c:v>-2.0115771864899018E-2</c:v>
                </c:pt>
                <c:pt idx="15">
                  <c:v>-2.0115771864899018E-2</c:v>
                </c:pt>
                <c:pt idx="16">
                  <c:v>-2.0115771864899018E-2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5C-44D4-80F8-D5C508F7C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628344"/>
        <c:axId val="1"/>
      </c:scatterChart>
      <c:valAx>
        <c:axId val="70662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10940499040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6218809980805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62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38963531669867"/>
          <c:y val="0.92000129214617399"/>
          <c:w val="0.802303262955854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57150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678460-C397-C52B-695E-7C1C52B9C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46" TargetMode="External"/><Relationship Id="rId2" Type="http://schemas.openxmlformats.org/officeDocument/2006/relationships/hyperlink" Target="http://www.konkoly.hu/cgi-bin/IBVS?1882" TargetMode="External"/><Relationship Id="rId1" Type="http://schemas.openxmlformats.org/officeDocument/2006/relationships/hyperlink" Target="http://www.konkoly.hu/cgi-bin/IBVS?1523" TargetMode="External"/><Relationship Id="rId4" Type="http://schemas.openxmlformats.org/officeDocument/2006/relationships/hyperlink" Target="http://www.bav-astro.de/sfs/BAVM_link.php?BAVMnr=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04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I40" sqref="I40"/>
    </sheetView>
  </sheetViews>
  <sheetFormatPr defaultColWidth="10.28515625" defaultRowHeight="12.75"/>
  <cols>
    <col min="1" max="1" width="17.5703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  <c r="E1" t="s">
        <v>122</v>
      </c>
    </row>
    <row r="2" spans="1:6">
      <c r="A2" t="s">
        <v>24</v>
      </c>
      <c r="B2" s="11" t="s">
        <v>43</v>
      </c>
    </row>
    <row r="4" spans="1:6" ht="14.25" thickTop="1" thickBot="1">
      <c r="A4" s="6" t="s">
        <v>0</v>
      </c>
      <c r="C4" s="3">
        <v>41903.813600000001</v>
      </c>
      <c r="D4" s="4">
        <v>15.275727</v>
      </c>
    </row>
    <row r="5" spans="1:6" ht="13.5" thickTop="1">
      <c r="A5" s="12" t="s">
        <v>44</v>
      </c>
      <c r="B5" s="13"/>
      <c r="C5" s="14">
        <v>-9.5</v>
      </c>
      <c r="D5" s="13" t="s">
        <v>45</v>
      </c>
    </row>
    <row r="6" spans="1:6">
      <c r="A6" s="6" t="s">
        <v>1</v>
      </c>
    </row>
    <row r="7" spans="1:6">
      <c r="A7" t="s">
        <v>2</v>
      </c>
      <c r="C7">
        <f>+C4</f>
        <v>41903.813600000001</v>
      </c>
    </row>
    <row r="8" spans="1:6">
      <c r="A8" t="s">
        <v>3</v>
      </c>
      <c r="C8">
        <f>+D4</f>
        <v>15.275727</v>
      </c>
    </row>
    <row r="9" spans="1:6">
      <c r="A9" s="28" t="s">
        <v>49</v>
      </c>
      <c r="B9" s="29">
        <v>21</v>
      </c>
      <c r="C9" s="17" t="str">
        <f>"F"&amp;B9</f>
        <v>F21</v>
      </c>
      <c r="D9" s="18" t="str">
        <f>"G"&amp;B9</f>
        <v>G21</v>
      </c>
    </row>
    <row r="10" spans="1:6" ht="13.5" thickBot="1">
      <c r="A10" s="13"/>
      <c r="B10" s="13"/>
      <c r="C10" s="5" t="s">
        <v>20</v>
      </c>
      <c r="D10" s="5" t="s">
        <v>21</v>
      </c>
      <c r="E10" s="13"/>
    </row>
    <row r="11" spans="1:6">
      <c r="A11" s="13" t="s">
        <v>16</v>
      </c>
      <c r="B11" s="13"/>
      <c r="C11" s="15">
        <f ca="1">INTERCEPT(INDIRECT($D$9):G991,INDIRECT($C$9):F991)</f>
        <v>5.4727115518912305E-3</v>
      </c>
      <c r="D11" s="16"/>
      <c r="E11" s="13"/>
    </row>
    <row r="12" spans="1:6">
      <c r="A12" s="13" t="s">
        <v>17</v>
      </c>
      <c r="B12" s="13"/>
      <c r="C12" s="15">
        <f ca="1">SLOPE(INDIRECT($D$9):G991,INDIRECT($C$9):F991)</f>
        <v>-6.2259083739149026E-5</v>
      </c>
      <c r="D12" s="16"/>
      <c r="E12" s="13"/>
    </row>
    <row r="13" spans="1:6">
      <c r="A13" s="13" t="s">
        <v>19</v>
      </c>
      <c r="B13" s="13"/>
      <c r="C13" s="16" t="s">
        <v>14</v>
      </c>
    </row>
    <row r="14" spans="1:6">
      <c r="A14" s="13"/>
      <c r="B14" s="13"/>
      <c r="C14" s="13"/>
    </row>
    <row r="15" spans="1:6">
      <c r="A15" s="19" t="s">
        <v>18</v>
      </c>
      <c r="B15" s="13"/>
      <c r="C15" s="20">
        <f ca="1">(C7+C11)+(C8+C12)*INT(MAX(F21:F3532))</f>
        <v>48182.117281228137</v>
      </c>
      <c r="E15" s="16"/>
      <c r="F15" s="13"/>
    </row>
    <row r="16" spans="1:6">
      <c r="A16" s="23" t="s">
        <v>4</v>
      </c>
      <c r="B16" s="13"/>
      <c r="C16" s="24">
        <f ca="1">+C8+C12</f>
        <v>15.275664740916261</v>
      </c>
      <c r="E16" s="13"/>
      <c r="F16" s="13"/>
    </row>
    <row r="17" spans="1:30" ht="13.5" thickBot="1">
      <c r="A17" s="21" t="s">
        <v>41</v>
      </c>
      <c r="B17" s="13"/>
      <c r="C17" s="13">
        <f>COUNT(C21:C2190)</f>
        <v>17</v>
      </c>
      <c r="E17" s="21" t="s">
        <v>46</v>
      </c>
      <c r="F17" s="22">
        <f ca="1">TODAY()+15018.5-B5/24</f>
        <v>60332.5</v>
      </c>
    </row>
    <row r="18" spans="1:30" ht="14.25" thickTop="1" thickBot="1">
      <c r="A18" s="23" t="s">
        <v>5</v>
      </c>
      <c r="B18" s="13"/>
      <c r="C18" s="26">
        <f ca="1">+C15</f>
        <v>48182.117281228137</v>
      </c>
      <c r="D18" s="27">
        <f ca="1">+C16</f>
        <v>15.275664740916261</v>
      </c>
      <c r="E18" s="21" t="s">
        <v>47</v>
      </c>
      <c r="F18" s="22">
        <f ca="1">ROUND(2*(F17-C15)/C16,0)/2+1</f>
        <v>796.5</v>
      </c>
    </row>
    <row r="19" spans="1:30" ht="13.5" thickTop="1">
      <c r="E19" s="21" t="s">
        <v>48</v>
      </c>
      <c r="F19" s="25">
        <f ca="1">+C15+C16*F18-15018.5-C5/24</f>
        <v>45331.080080701278</v>
      </c>
    </row>
    <row r="20" spans="1:30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32</v>
      </c>
      <c r="I20" s="8" t="s">
        <v>58</v>
      </c>
      <c r="J20" s="8" t="s">
        <v>54</v>
      </c>
      <c r="K20" s="8" t="s">
        <v>52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0">
      <c r="A21" t="s">
        <v>123</v>
      </c>
      <c r="C21" s="10">
        <v>38069.642999999996</v>
      </c>
      <c r="D21" s="9"/>
      <c r="E21">
        <f t="shared" ref="E21:E37" si="0">+(C21-C$7)/C$8</f>
        <v>-250.99758590867754</v>
      </c>
      <c r="F21">
        <f t="shared" ref="F21:F37" si="1">ROUND(2*E21,0)/2</f>
        <v>-251</v>
      </c>
      <c r="G21">
        <f t="shared" ref="G21:G37" si="2">+C21-(C$7+F21*C$8)</f>
        <v>3.6876999991363846E-2</v>
      </c>
      <c r="J21">
        <f>G21</f>
        <v>3.6876999991363846E-2</v>
      </c>
      <c r="O21">
        <f t="shared" ref="O21:O37" ca="1" si="3">+C$11+C$12*F21</f>
        <v>2.1099741570417635E-2</v>
      </c>
      <c r="Q21" s="2">
        <f t="shared" ref="Q21:Q37" si="4">+C21-15018.5</f>
        <v>23051.142999999996</v>
      </c>
    </row>
    <row r="22" spans="1:30">
      <c r="A22" t="s">
        <v>29</v>
      </c>
      <c r="C22" s="10">
        <v>41170.587</v>
      </c>
      <c r="D22" s="9"/>
      <c r="E22">
        <f t="shared" si="0"/>
        <v>-47.999456916191406</v>
      </c>
      <c r="F22">
        <f t="shared" si="1"/>
        <v>-48</v>
      </c>
      <c r="G22">
        <f t="shared" si="2"/>
        <v>8.2959999999729916E-3</v>
      </c>
      <c r="J22">
        <f>G22</f>
        <v>8.2959999999729916E-3</v>
      </c>
      <c r="O22">
        <f t="shared" ca="1" si="3"/>
        <v>8.4611475713703838E-3</v>
      </c>
      <c r="Q22" s="2">
        <f t="shared" si="4"/>
        <v>26152.087</v>
      </c>
      <c r="AA22" t="s">
        <v>28</v>
      </c>
      <c r="AD22" t="s">
        <v>30</v>
      </c>
    </row>
    <row r="23" spans="1:30">
      <c r="A23" t="s">
        <v>29</v>
      </c>
      <c r="C23" s="10">
        <v>41185.85</v>
      </c>
      <c r="D23" s="9"/>
      <c r="E23">
        <f t="shared" si="0"/>
        <v>-47.000290068027716</v>
      </c>
      <c r="F23">
        <f t="shared" si="1"/>
        <v>-47</v>
      </c>
      <c r="G23">
        <f t="shared" si="2"/>
        <v>-4.4310000012046658E-3</v>
      </c>
      <c r="J23">
        <f>G23</f>
        <v>-4.4310000012046658E-3</v>
      </c>
      <c r="O23">
        <f t="shared" ca="1" si="3"/>
        <v>8.3988884876312342E-3</v>
      </c>
      <c r="Q23" s="2">
        <f t="shared" si="4"/>
        <v>26167.35</v>
      </c>
      <c r="AA23" t="s">
        <v>28</v>
      </c>
      <c r="AD23" t="s">
        <v>30</v>
      </c>
    </row>
    <row r="24" spans="1:30">
      <c r="A24" t="s">
        <v>12</v>
      </c>
      <c r="C24" s="9">
        <v>41903.813600000001</v>
      </c>
      <c r="D24" s="9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J24">
        <f>+G24</f>
        <v>0</v>
      </c>
      <c r="O24">
        <f t="shared" ca="1" si="3"/>
        <v>5.4727115518912305E-3</v>
      </c>
      <c r="Q24" s="2">
        <f t="shared" si="4"/>
        <v>26885.313600000001</v>
      </c>
    </row>
    <row r="25" spans="1:30">
      <c r="A25" t="s">
        <v>40</v>
      </c>
      <c r="C25" s="10">
        <v>42682.866999999998</v>
      </c>
      <c r="D25" s="9"/>
      <c r="E25">
        <f t="shared" si="0"/>
        <v>50.999431974661306</v>
      </c>
      <c r="F25">
        <f t="shared" si="1"/>
        <v>51</v>
      </c>
      <c r="G25">
        <f t="shared" si="2"/>
        <v>-8.6770000052638352E-3</v>
      </c>
      <c r="J25">
        <f>G25</f>
        <v>-8.6770000052638352E-3</v>
      </c>
      <c r="O25">
        <f t="shared" ca="1" si="3"/>
        <v>2.2974982811946303E-3</v>
      </c>
      <c r="Q25" s="2">
        <f t="shared" si="4"/>
        <v>27664.366999999998</v>
      </c>
    </row>
    <row r="26" spans="1:30">
      <c r="A26" t="s">
        <v>40</v>
      </c>
      <c r="C26" s="10">
        <v>43813.281999999999</v>
      </c>
      <c r="D26" s="9"/>
      <c r="E26">
        <f t="shared" si="0"/>
        <v>125.00016529491512</v>
      </c>
      <c r="F26">
        <f t="shared" si="1"/>
        <v>125</v>
      </c>
      <c r="G26">
        <f t="shared" si="2"/>
        <v>2.5249999962397851E-3</v>
      </c>
      <c r="J26">
        <f>G26</f>
        <v>2.5249999962397851E-3</v>
      </c>
      <c r="O26">
        <f t="shared" ca="1" si="3"/>
        <v>-2.3096739155023978E-3</v>
      </c>
      <c r="Q26" s="2">
        <f t="shared" si="4"/>
        <v>28794.781999999999</v>
      </c>
    </row>
    <row r="27" spans="1:30">
      <c r="A27" t="s">
        <v>31</v>
      </c>
      <c r="C27" s="10">
        <v>44515.963000000003</v>
      </c>
      <c r="D27" s="9"/>
      <c r="E27">
        <f t="shared" si="0"/>
        <v>171.00000543345675</v>
      </c>
      <c r="F27">
        <f t="shared" si="1"/>
        <v>171</v>
      </c>
      <c r="G27">
        <f t="shared" si="2"/>
        <v>8.2999998994637281E-5</v>
      </c>
      <c r="I27">
        <f>+G27</f>
        <v>8.2999998994637281E-5</v>
      </c>
      <c r="O27">
        <f t="shared" ca="1" si="3"/>
        <v>-5.1735917675032536E-3</v>
      </c>
      <c r="Q27" s="2">
        <f t="shared" si="4"/>
        <v>29497.463000000003</v>
      </c>
      <c r="AA27" t="s">
        <v>28</v>
      </c>
      <c r="AD27" t="s">
        <v>30</v>
      </c>
    </row>
    <row r="28" spans="1:30">
      <c r="A28" t="s">
        <v>33</v>
      </c>
      <c r="C28" s="10">
        <v>45646.366999999998</v>
      </c>
      <c r="D28" s="9"/>
      <c r="E28">
        <f t="shared" si="0"/>
        <v>245.00001865704965</v>
      </c>
      <c r="F28">
        <f t="shared" si="1"/>
        <v>245</v>
      </c>
      <c r="G28">
        <f t="shared" si="2"/>
        <v>2.8499999461928383E-4</v>
      </c>
      <c r="I28">
        <f>+G28</f>
        <v>2.8499999461928383E-4</v>
      </c>
      <c r="O28">
        <f t="shared" ca="1" si="3"/>
        <v>-9.78076396420028E-3</v>
      </c>
      <c r="Q28" s="2">
        <f t="shared" si="4"/>
        <v>30627.866999999998</v>
      </c>
      <c r="AA28" t="s">
        <v>32</v>
      </c>
      <c r="AD28" t="s">
        <v>30</v>
      </c>
    </row>
    <row r="29" spans="1:30">
      <c r="A29" t="s">
        <v>29</v>
      </c>
      <c r="C29" s="10">
        <v>47128.077100000002</v>
      </c>
      <c r="D29" s="9"/>
      <c r="E29">
        <f t="shared" si="0"/>
        <v>341.99770001126632</v>
      </c>
      <c r="F29">
        <f t="shared" si="1"/>
        <v>342</v>
      </c>
      <c r="G29">
        <f t="shared" si="2"/>
        <v>-3.5133999997924548E-2</v>
      </c>
      <c r="J29">
        <f>G29</f>
        <v>-3.5133999997924548E-2</v>
      </c>
      <c r="O29">
        <f t="shared" ca="1" si="3"/>
        <v>-1.5819895086897739E-2</v>
      </c>
      <c r="Q29" s="2">
        <f t="shared" si="4"/>
        <v>32109.577100000002</v>
      </c>
      <c r="AA29" t="s">
        <v>28</v>
      </c>
      <c r="AB29" t="s">
        <v>34</v>
      </c>
      <c r="AD29" t="s">
        <v>30</v>
      </c>
    </row>
    <row r="30" spans="1:30">
      <c r="A30" t="s">
        <v>29</v>
      </c>
      <c r="C30" s="10">
        <v>47128.081200000001</v>
      </c>
      <c r="D30" s="9"/>
      <c r="E30">
        <f t="shared" si="0"/>
        <v>341.99796841093058</v>
      </c>
      <c r="F30">
        <f t="shared" si="1"/>
        <v>342</v>
      </c>
      <c r="G30">
        <f t="shared" si="2"/>
        <v>-3.1033999999635853E-2</v>
      </c>
      <c r="J30">
        <f>G30</f>
        <v>-3.1033999999635853E-2</v>
      </c>
      <c r="O30">
        <f t="shared" ca="1" si="3"/>
        <v>-1.5819895086897739E-2</v>
      </c>
      <c r="Q30" s="2">
        <f t="shared" si="4"/>
        <v>32109.581200000001</v>
      </c>
      <c r="AA30" t="s">
        <v>28</v>
      </c>
      <c r="AB30" t="s">
        <v>35</v>
      </c>
      <c r="AD30" t="s">
        <v>30</v>
      </c>
    </row>
    <row r="31" spans="1:30">
      <c r="A31" t="s">
        <v>29</v>
      </c>
      <c r="C31" s="10">
        <v>47464.158199999998</v>
      </c>
      <c r="D31" s="9"/>
      <c r="E31">
        <f t="shared" si="0"/>
        <v>363.99868890037095</v>
      </c>
      <c r="F31">
        <f t="shared" si="1"/>
        <v>364</v>
      </c>
      <c r="G31">
        <f t="shared" si="2"/>
        <v>-2.002800000627758E-2</v>
      </c>
      <c r="J31">
        <f>G31</f>
        <v>-2.002800000627758E-2</v>
      </c>
      <c r="O31">
        <f t="shared" ca="1" si="3"/>
        <v>-1.7189594929159016E-2</v>
      </c>
      <c r="Q31" s="2">
        <f t="shared" si="4"/>
        <v>32445.658199999998</v>
      </c>
      <c r="AA31" t="s">
        <v>28</v>
      </c>
      <c r="AB31" t="s">
        <v>35</v>
      </c>
      <c r="AD31" t="s">
        <v>30</v>
      </c>
    </row>
    <row r="32" spans="1:30">
      <c r="A32" t="s">
        <v>29</v>
      </c>
      <c r="C32" s="10">
        <v>47464.160300000003</v>
      </c>
      <c r="D32" s="9"/>
      <c r="E32">
        <f t="shared" si="0"/>
        <v>363.99882637337009</v>
      </c>
      <c r="F32">
        <f t="shared" si="1"/>
        <v>364</v>
      </c>
      <c r="G32">
        <f t="shared" si="2"/>
        <v>-1.7928000001120381E-2</v>
      </c>
      <c r="J32">
        <f>G32</f>
        <v>-1.7928000001120381E-2</v>
      </c>
      <c r="O32">
        <f t="shared" ca="1" si="3"/>
        <v>-1.7189594929159016E-2</v>
      </c>
      <c r="Q32" s="2">
        <f t="shared" si="4"/>
        <v>32445.660300000003</v>
      </c>
      <c r="AA32" t="s">
        <v>28</v>
      </c>
      <c r="AB32" t="s">
        <v>34</v>
      </c>
      <c r="AD32" t="s">
        <v>30</v>
      </c>
    </row>
    <row r="33" spans="1:30">
      <c r="A33" t="s">
        <v>37</v>
      </c>
      <c r="C33" s="10">
        <v>47540.538</v>
      </c>
      <c r="D33" s="9" t="s">
        <v>36</v>
      </c>
      <c r="E33">
        <f t="shared" si="0"/>
        <v>368.99876516515377</v>
      </c>
      <c r="F33">
        <f t="shared" si="1"/>
        <v>369</v>
      </c>
      <c r="G33">
        <f t="shared" si="2"/>
        <v>-1.8863000004785135E-2</v>
      </c>
      <c r="I33">
        <f>+G33</f>
        <v>-1.8863000004785135E-2</v>
      </c>
      <c r="O33">
        <f t="shared" ca="1" si="3"/>
        <v>-1.7500890347854757E-2</v>
      </c>
      <c r="Q33" s="2">
        <f t="shared" si="4"/>
        <v>32522.038</v>
      </c>
      <c r="AA33" t="s">
        <v>32</v>
      </c>
      <c r="AD33" t="s">
        <v>30</v>
      </c>
    </row>
    <row r="34" spans="1:30">
      <c r="A34" t="s">
        <v>29</v>
      </c>
      <c r="C34" s="10">
        <v>48182.1149</v>
      </c>
      <c r="D34" s="9"/>
      <c r="E34">
        <f t="shared" si="0"/>
        <v>410.99852727140251</v>
      </c>
      <c r="F34">
        <f t="shared" si="1"/>
        <v>411</v>
      </c>
      <c r="G34">
        <f t="shared" si="2"/>
        <v>-2.2496999998111278E-2</v>
      </c>
      <c r="J34">
        <f>G34</f>
        <v>-2.2496999998111278E-2</v>
      </c>
      <c r="O34">
        <f t="shared" ca="1" si="3"/>
        <v>-2.0115771864899018E-2</v>
      </c>
      <c r="Q34" s="2">
        <f t="shared" si="4"/>
        <v>33163.6149</v>
      </c>
      <c r="AA34" t="s">
        <v>28</v>
      </c>
      <c r="AB34" t="s">
        <v>34</v>
      </c>
      <c r="AD34" t="s">
        <v>30</v>
      </c>
    </row>
    <row r="35" spans="1:30">
      <c r="A35" t="s">
        <v>29</v>
      </c>
      <c r="C35" s="10">
        <v>48182.119400000003</v>
      </c>
      <c r="D35" s="9"/>
      <c r="E35">
        <f t="shared" si="0"/>
        <v>410.99882185640013</v>
      </c>
      <c r="F35">
        <f t="shared" si="1"/>
        <v>411</v>
      </c>
      <c r="G35">
        <f t="shared" si="2"/>
        <v>-1.7996999995375518E-2</v>
      </c>
      <c r="J35">
        <f>G35</f>
        <v>-1.7996999995375518E-2</v>
      </c>
      <c r="O35">
        <f t="shared" ca="1" si="3"/>
        <v>-2.0115771864899018E-2</v>
      </c>
      <c r="Q35" s="2">
        <f t="shared" si="4"/>
        <v>33163.619400000003</v>
      </c>
      <c r="AA35" t="s">
        <v>28</v>
      </c>
      <c r="AB35" t="s">
        <v>38</v>
      </c>
      <c r="AD35" t="s">
        <v>30</v>
      </c>
    </row>
    <row r="36" spans="1:30">
      <c r="A36" s="43" t="s">
        <v>66</v>
      </c>
      <c r="B36" s="45" t="s">
        <v>38</v>
      </c>
      <c r="C36" s="44">
        <v>48182.125500000002</v>
      </c>
      <c r="D36" s="44" t="s">
        <v>58</v>
      </c>
      <c r="E36">
        <f t="shared" si="0"/>
        <v>410.99922118273003</v>
      </c>
      <c r="F36">
        <f t="shared" si="1"/>
        <v>411</v>
      </c>
      <c r="G36">
        <f t="shared" si="2"/>
        <v>-1.1896999996679369E-2</v>
      </c>
      <c r="I36">
        <f>G36</f>
        <v>-1.1896999996679369E-2</v>
      </c>
      <c r="O36">
        <f t="shared" ca="1" si="3"/>
        <v>-2.0115771864899018E-2</v>
      </c>
      <c r="Q36" s="2">
        <f t="shared" si="4"/>
        <v>33163.625500000002</v>
      </c>
    </row>
    <row r="37" spans="1:30">
      <c r="A37" t="s">
        <v>29</v>
      </c>
      <c r="C37" s="10">
        <v>48182.1423</v>
      </c>
      <c r="D37" s="9"/>
      <c r="E37">
        <f t="shared" si="0"/>
        <v>411.00032096672049</v>
      </c>
      <c r="F37">
        <f t="shared" si="1"/>
        <v>411</v>
      </c>
      <c r="G37">
        <f t="shared" si="2"/>
        <v>4.903000000922475E-3</v>
      </c>
      <c r="J37">
        <f>G37</f>
        <v>4.903000000922475E-3</v>
      </c>
      <c r="O37">
        <f t="shared" ca="1" si="3"/>
        <v>-2.0115771864899018E-2</v>
      </c>
      <c r="Q37" s="2">
        <f t="shared" si="4"/>
        <v>33163.6423</v>
      </c>
      <c r="AA37" t="s">
        <v>28</v>
      </c>
      <c r="AB37" t="s">
        <v>39</v>
      </c>
      <c r="AD37" t="s">
        <v>30</v>
      </c>
    </row>
    <row r="38" spans="1:30">
      <c r="C38" s="10"/>
      <c r="D38" s="9"/>
      <c r="Q38" s="2"/>
    </row>
    <row r="39" spans="1:30">
      <c r="C39" s="10"/>
      <c r="D39" s="9"/>
      <c r="Q39" s="2"/>
    </row>
    <row r="40" spans="1:30">
      <c r="C40" s="10"/>
      <c r="D40" s="9"/>
      <c r="Q40" s="2"/>
    </row>
    <row r="41" spans="1:30">
      <c r="C41" s="10"/>
      <c r="D41" s="9"/>
      <c r="Q41" s="2"/>
    </row>
    <row r="42" spans="1:30">
      <c r="C42" s="10"/>
      <c r="D42" s="9"/>
      <c r="Q42" s="2"/>
    </row>
    <row r="43" spans="1:30">
      <c r="C43" s="10"/>
      <c r="D43" s="9"/>
      <c r="Q43" s="2"/>
    </row>
    <row r="44" spans="1:30">
      <c r="C44" s="10"/>
      <c r="D44" s="9"/>
      <c r="Q44" s="2"/>
    </row>
    <row r="45" spans="1:30">
      <c r="C45" s="10"/>
      <c r="D45" s="9"/>
      <c r="Q45" s="2"/>
    </row>
    <row r="46" spans="1:30">
      <c r="C46" s="10"/>
      <c r="D46" s="9"/>
      <c r="Q46" s="2"/>
    </row>
    <row r="47" spans="1:30">
      <c r="C47" s="10"/>
      <c r="D47" s="9"/>
      <c r="Q47" s="2"/>
    </row>
    <row r="48" spans="1:30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topLeftCell="A5" workbookViewId="0">
      <selection activeCell="A24" sqref="A24:D24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0" t="s">
        <v>50</v>
      </c>
      <c r="I1" s="31" t="s">
        <v>51</v>
      </c>
      <c r="J1" s="32" t="s">
        <v>52</v>
      </c>
    </row>
    <row r="2" spans="1:16">
      <c r="I2" s="33" t="s">
        <v>53</v>
      </c>
      <c r="J2" s="34" t="s">
        <v>54</v>
      </c>
    </row>
    <row r="3" spans="1:16">
      <c r="A3" s="35" t="s">
        <v>55</v>
      </c>
      <c r="I3" s="33" t="s">
        <v>56</v>
      </c>
      <c r="J3" s="34" t="s">
        <v>32</v>
      </c>
    </row>
    <row r="4" spans="1:16">
      <c r="I4" s="33" t="s">
        <v>57</v>
      </c>
      <c r="J4" s="34" t="s">
        <v>32</v>
      </c>
    </row>
    <row r="5" spans="1:16" ht="13.5" thickBot="1">
      <c r="I5" s="36" t="s">
        <v>34</v>
      </c>
      <c r="J5" s="37" t="s">
        <v>58</v>
      </c>
    </row>
    <row r="10" spans="1:16" ht="13.5" thickBot="1"/>
    <row r="11" spans="1:16" ht="12.75" customHeight="1" thickBot="1">
      <c r="A11" s="9" t="str">
        <f t="shared" ref="A11:A24" si="0">P11</f>
        <v> ASS 198.137 </v>
      </c>
      <c r="B11" s="16" t="str">
        <f t="shared" ref="B11:B24" si="1">IF(H11=INT(H11),"I","II")</f>
        <v>I</v>
      </c>
      <c r="C11" s="9">
        <f t="shared" ref="C11:C24" si="2">1*G11</f>
        <v>38069.642999999996</v>
      </c>
      <c r="D11" s="13" t="str">
        <f t="shared" ref="D11:D24" si="3">VLOOKUP(F11,I$1:J$5,2,FALSE)</f>
        <v>vis</v>
      </c>
      <c r="E11" s="38">
        <f>VLOOKUP(C11,'Active 1'!C$21:E$972,3,FALSE)</f>
        <v>-250.99758590867754</v>
      </c>
      <c r="F11" s="16" t="s">
        <v>34</v>
      </c>
      <c r="G11" s="13" t="str">
        <f t="shared" ref="G11:G24" si="4">MID(I11,3,LEN(I11)-3)</f>
        <v>38069.643</v>
      </c>
      <c r="H11" s="9">
        <f t="shared" ref="H11:H24" si="5">1*K11</f>
        <v>-251</v>
      </c>
      <c r="I11" s="39" t="s">
        <v>60</v>
      </c>
      <c r="J11" s="40" t="s">
        <v>61</v>
      </c>
      <c r="K11" s="39">
        <v>-251</v>
      </c>
      <c r="L11" s="39" t="s">
        <v>62</v>
      </c>
      <c r="M11" s="40" t="s">
        <v>63</v>
      </c>
      <c r="N11" s="40" t="s">
        <v>64</v>
      </c>
      <c r="O11" s="41" t="s">
        <v>65</v>
      </c>
      <c r="P11" s="41" t="s">
        <v>66</v>
      </c>
    </row>
    <row r="12" spans="1:16" ht="12.75" customHeight="1" thickBot="1">
      <c r="A12" s="9" t="str">
        <f t="shared" si="0"/>
        <v> ASS 198.137 </v>
      </c>
      <c r="B12" s="16" t="str">
        <f t="shared" si="1"/>
        <v>I</v>
      </c>
      <c r="C12" s="9">
        <f t="shared" si="2"/>
        <v>41170.587</v>
      </c>
      <c r="D12" s="13" t="str">
        <f t="shared" si="3"/>
        <v>vis</v>
      </c>
      <c r="E12" s="38">
        <f>VLOOKUP(C12,'Active 1'!C$21:E$972,3,FALSE)</f>
        <v>-47.999456916191406</v>
      </c>
      <c r="F12" s="16" t="s">
        <v>34</v>
      </c>
      <c r="G12" s="13" t="str">
        <f t="shared" si="4"/>
        <v>41170.587</v>
      </c>
      <c r="H12" s="9">
        <f t="shared" si="5"/>
        <v>-48</v>
      </c>
      <c r="I12" s="39" t="s">
        <v>67</v>
      </c>
      <c r="J12" s="40" t="s">
        <v>68</v>
      </c>
      <c r="K12" s="39">
        <v>-48</v>
      </c>
      <c r="L12" s="39" t="s">
        <v>69</v>
      </c>
      <c r="M12" s="40" t="s">
        <v>63</v>
      </c>
      <c r="N12" s="40" t="s">
        <v>35</v>
      </c>
      <c r="O12" s="41" t="s">
        <v>70</v>
      </c>
      <c r="P12" s="41" t="s">
        <v>66</v>
      </c>
    </row>
    <row r="13" spans="1:16" ht="12.75" customHeight="1" thickBot="1">
      <c r="A13" s="9" t="str">
        <f t="shared" si="0"/>
        <v> PASP 84.563 </v>
      </c>
      <c r="B13" s="16" t="str">
        <f t="shared" si="1"/>
        <v>I</v>
      </c>
      <c r="C13" s="9">
        <f t="shared" si="2"/>
        <v>41185.85</v>
      </c>
      <c r="D13" s="13" t="str">
        <f t="shared" si="3"/>
        <v>vis</v>
      </c>
      <c r="E13" s="38">
        <f>VLOOKUP(C13,'Active 1'!C$21:E$972,3,FALSE)</f>
        <v>-47.000290068027716</v>
      </c>
      <c r="F13" s="16" t="s">
        <v>34</v>
      </c>
      <c r="G13" s="13" t="str">
        <f t="shared" si="4"/>
        <v>41185.85</v>
      </c>
      <c r="H13" s="9">
        <f t="shared" si="5"/>
        <v>-47</v>
      </c>
      <c r="I13" s="39" t="s">
        <v>71</v>
      </c>
      <c r="J13" s="40" t="s">
        <v>72</v>
      </c>
      <c r="K13" s="39">
        <v>-47</v>
      </c>
      <c r="L13" s="39" t="s">
        <v>73</v>
      </c>
      <c r="M13" s="40" t="s">
        <v>63</v>
      </c>
      <c r="N13" s="40" t="s">
        <v>35</v>
      </c>
      <c r="O13" s="41" t="s">
        <v>74</v>
      </c>
      <c r="P13" s="41" t="s">
        <v>75</v>
      </c>
    </row>
    <row r="14" spans="1:16" ht="12.75" customHeight="1" thickBot="1">
      <c r="A14" s="9" t="str">
        <f t="shared" si="0"/>
        <v> JRAC 68.96 </v>
      </c>
      <c r="B14" s="16" t="str">
        <f t="shared" si="1"/>
        <v>I</v>
      </c>
      <c r="C14" s="9">
        <f t="shared" si="2"/>
        <v>41903.813600000001</v>
      </c>
      <c r="D14" s="13" t="str">
        <f t="shared" si="3"/>
        <v>vis</v>
      </c>
      <c r="E14" s="38">
        <f>VLOOKUP(C14,'Active 1'!C$21:E$972,3,FALSE)</f>
        <v>0</v>
      </c>
      <c r="F14" s="16" t="s">
        <v>34</v>
      </c>
      <c r="G14" s="13" t="str">
        <f t="shared" si="4"/>
        <v>41903.8136</v>
      </c>
      <c r="H14" s="9">
        <f t="shared" si="5"/>
        <v>0</v>
      </c>
      <c r="I14" s="39" t="s">
        <v>76</v>
      </c>
      <c r="J14" s="40" t="s">
        <v>77</v>
      </c>
      <c r="K14" s="39">
        <v>0</v>
      </c>
      <c r="L14" s="39" t="s">
        <v>78</v>
      </c>
      <c r="M14" s="40" t="s">
        <v>63</v>
      </c>
      <c r="N14" s="40" t="s">
        <v>79</v>
      </c>
      <c r="O14" s="41" t="s">
        <v>80</v>
      </c>
      <c r="P14" s="41" t="s">
        <v>81</v>
      </c>
    </row>
    <row r="15" spans="1:16" ht="12.75" customHeight="1" thickBot="1">
      <c r="A15" s="9" t="str">
        <f t="shared" si="0"/>
        <v> JRAC 73.258 </v>
      </c>
      <c r="B15" s="16" t="str">
        <f t="shared" si="1"/>
        <v>I</v>
      </c>
      <c r="C15" s="9">
        <f t="shared" si="2"/>
        <v>42682.866999999998</v>
      </c>
      <c r="D15" s="13" t="str">
        <f t="shared" si="3"/>
        <v>vis</v>
      </c>
      <c r="E15" s="38">
        <f>VLOOKUP(C15,'Active 1'!C$21:E$972,3,FALSE)</f>
        <v>50.999431974661306</v>
      </c>
      <c r="F15" s="16" t="s">
        <v>34</v>
      </c>
      <c r="G15" s="13" t="str">
        <f t="shared" si="4"/>
        <v>42682.867</v>
      </c>
      <c r="H15" s="9">
        <f t="shared" si="5"/>
        <v>51</v>
      </c>
      <c r="I15" s="39" t="s">
        <v>82</v>
      </c>
      <c r="J15" s="40" t="s">
        <v>83</v>
      </c>
      <c r="K15" s="39">
        <v>51</v>
      </c>
      <c r="L15" s="39" t="s">
        <v>84</v>
      </c>
      <c r="M15" s="40" t="s">
        <v>63</v>
      </c>
      <c r="N15" s="40" t="s">
        <v>79</v>
      </c>
      <c r="O15" s="41" t="s">
        <v>85</v>
      </c>
      <c r="P15" s="41" t="s">
        <v>86</v>
      </c>
    </row>
    <row r="16" spans="1:16" ht="12.75" customHeight="1" thickBot="1">
      <c r="A16" s="9" t="str">
        <f t="shared" si="0"/>
        <v>IBVS 1523 </v>
      </c>
      <c r="B16" s="16" t="str">
        <f t="shared" si="1"/>
        <v>I</v>
      </c>
      <c r="C16" s="9">
        <f t="shared" si="2"/>
        <v>43813.281999999999</v>
      </c>
      <c r="D16" s="13" t="str">
        <f t="shared" si="3"/>
        <v>vis</v>
      </c>
      <c r="E16" s="38">
        <f>VLOOKUP(C16,'Active 1'!C$21:E$972,3,FALSE)</f>
        <v>125.00016529491512</v>
      </c>
      <c r="F16" s="16" t="s">
        <v>34</v>
      </c>
      <c r="G16" s="13" t="str">
        <f t="shared" si="4"/>
        <v>43813.282</v>
      </c>
      <c r="H16" s="9">
        <f t="shared" si="5"/>
        <v>125</v>
      </c>
      <c r="I16" s="39" t="s">
        <v>87</v>
      </c>
      <c r="J16" s="40" t="s">
        <v>88</v>
      </c>
      <c r="K16" s="39">
        <v>125</v>
      </c>
      <c r="L16" s="39" t="s">
        <v>89</v>
      </c>
      <c r="M16" s="40" t="s">
        <v>63</v>
      </c>
      <c r="N16" s="40" t="s">
        <v>79</v>
      </c>
      <c r="O16" s="41" t="s">
        <v>90</v>
      </c>
      <c r="P16" s="42" t="s">
        <v>91</v>
      </c>
    </row>
    <row r="17" spans="1:16" ht="12.75" customHeight="1" thickBot="1">
      <c r="A17" s="9" t="str">
        <f t="shared" si="0"/>
        <v>IBVS 1882 </v>
      </c>
      <c r="B17" s="16" t="str">
        <f t="shared" si="1"/>
        <v>I</v>
      </c>
      <c r="C17" s="9">
        <f t="shared" si="2"/>
        <v>44515.963000000003</v>
      </c>
      <c r="D17" s="13" t="str">
        <f t="shared" si="3"/>
        <v>vis</v>
      </c>
      <c r="E17" s="38">
        <f>VLOOKUP(C17,'Active 1'!C$21:E$972,3,FALSE)</f>
        <v>171.00000543345675</v>
      </c>
      <c r="F17" s="16" t="s">
        <v>34</v>
      </c>
      <c r="G17" s="13" t="str">
        <f t="shared" si="4"/>
        <v>44515.9630</v>
      </c>
      <c r="H17" s="9">
        <f t="shared" si="5"/>
        <v>171</v>
      </c>
      <c r="I17" s="39" t="s">
        <v>92</v>
      </c>
      <c r="J17" s="40" t="s">
        <v>93</v>
      </c>
      <c r="K17" s="39">
        <v>171</v>
      </c>
      <c r="L17" s="39" t="s">
        <v>94</v>
      </c>
      <c r="M17" s="40" t="s">
        <v>63</v>
      </c>
      <c r="N17" s="40" t="s">
        <v>79</v>
      </c>
      <c r="O17" s="41" t="s">
        <v>95</v>
      </c>
      <c r="P17" s="42" t="s">
        <v>96</v>
      </c>
    </row>
    <row r="18" spans="1:16" ht="12.75" customHeight="1" thickBot="1">
      <c r="A18" s="9" t="str">
        <f t="shared" si="0"/>
        <v>BAVM 46 </v>
      </c>
      <c r="B18" s="16" t="str">
        <f t="shared" si="1"/>
        <v>I</v>
      </c>
      <c r="C18" s="9">
        <f t="shared" si="2"/>
        <v>45646.366999999998</v>
      </c>
      <c r="D18" s="13" t="str">
        <f t="shared" si="3"/>
        <v>vis</v>
      </c>
      <c r="E18" s="38">
        <f>VLOOKUP(C18,'Active 1'!C$21:E$972,3,FALSE)</f>
        <v>245.00001865704965</v>
      </c>
      <c r="F18" s="16" t="s">
        <v>34</v>
      </c>
      <c r="G18" s="13" t="str">
        <f t="shared" si="4"/>
        <v>45646.367</v>
      </c>
      <c r="H18" s="9">
        <f t="shared" si="5"/>
        <v>245</v>
      </c>
      <c r="I18" s="39" t="s">
        <v>97</v>
      </c>
      <c r="J18" s="40" t="s">
        <v>98</v>
      </c>
      <c r="K18" s="39">
        <v>245</v>
      </c>
      <c r="L18" s="39" t="s">
        <v>99</v>
      </c>
      <c r="M18" s="40" t="s">
        <v>59</v>
      </c>
      <c r="N18" s="40"/>
      <c r="O18" s="41" t="s">
        <v>100</v>
      </c>
      <c r="P18" s="42" t="s">
        <v>101</v>
      </c>
    </row>
    <row r="19" spans="1:16" ht="12.75" customHeight="1" thickBot="1">
      <c r="A19" s="9" t="str">
        <f t="shared" si="0"/>
        <v> ASS 198.137 </v>
      </c>
      <c r="B19" s="16" t="str">
        <f t="shared" si="1"/>
        <v>I</v>
      </c>
      <c r="C19" s="9">
        <f t="shared" si="2"/>
        <v>47128.077100000002</v>
      </c>
      <c r="D19" s="13" t="str">
        <f t="shared" si="3"/>
        <v>vis</v>
      </c>
      <c r="E19" s="38">
        <f>VLOOKUP(C19,'Active 1'!C$21:E$972,3,FALSE)</f>
        <v>341.99770001126632</v>
      </c>
      <c r="F19" s="16" t="s">
        <v>34</v>
      </c>
      <c r="G19" s="13" t="str">
        <f t="shared" si="4"/>
        <v>47128.0771</v>
      </c>
      <c r="H19" s="9">
        <f t="shared" si="5"/>
        <v>342</v>
      </c>
      <c r="I19" s="39" t="s">
        <v>102</v>
      </c>
      <c r="J19" s="40" t="s">
        <v>103</v>
      </c>
      <c r="K19" s="39">
        <v>342</v>
      </c>
      <c r="L19" s="39" t="s">
        <v>104</v>
      </c>
      <c r="M19" s="40" t="s">
        <v>63</v>
      </c>
      <c r="N19" s="40" t="s">
        <v>64</v>
      </c>
      <c r="O19" s="41" t="s">
        <v>105</v>
      </c>
      <c r="P19" s="41" t="s">
        <v>66</v>
      </c>
    </row>
    <row r="20" spans="1:16" ht="12.75" customHeight="1" thickBot="1">
      <c r="A20" s="9" t="str">
        <f t="shared" si="0"/>
        <v> ASS 198.137 </v>
      </c>
      <c r="B20" s="16" t="str">
        <f t="shared" si="1"/>
        <v>I</v>
      </c>
      <c r="C20" s="9">
        <f t="shared" si="2"/>
        <v>47128.081200000001</v>
      </c>
      <c r="D20" s="13" t="str">
        <f t="shared" si="3"/>
        <v>vis</v>
      </c>
      <c r="E20" s="38">
        <f>VLOOKUP(C20,'Active 1'!C$21:E$972,3,FALSE)</f>
        <v>341.99796841093058</v>
      </c>
      <c r="F20" s="16" t="s">
        <v>34</v>
      </c>
      <c r="G20" s="13" t="str">
        <f t="shared" si="4"/>
        <v>47128.0812</v>
      </c>
      <c r="H20" s="9">
        <f t="shared" si="5"/>
        <v>342</v>
      </c>
      <c r="I20" s="39" t="s">
        <v>106</v>
      </c>
      <c r="J20" s="40" t="s">
        <v>107</v>
      </c>
      <c r="K20" s="39">
        <v>342</v>
      </c>
      <c r="L20" s="39" t="s">
        <v>108</v>
      </c>
      <c r="M20" s="40" t="s">
        <v>63</v>
      </c>
      <c r="N20" s="40" t="s">
        <v>35</v>
      </c>
      <c r="O20" s="41" t="s">
        <v>105</v>
      </c>
      <c r="P20" s="41" t="s">
        <v>66</v>
      </c>
    </row>
    <row r="21" spans="1:16" ht="12.75" customHeight="1" thickBot="1">
      <c r="A21" s="9" t="str">
        <f t="shared" si="0"/>
        <v> ASS 198.137 </v>
      </c>
      <c r="B21" s="16" t="str">
        <f t="shared" si="1"/>
        <v>I</v>
      </c>
      <c r="C21" s="9">
        <f t="shared" si="2"/>
        <v>47464.158199999998</v>
      </c>
      <c r="D21" s="13" t="str">
        <f t="shared" si="3"/>
        <v>vis</v>
      </c>
      <c r="E21" s="38">
        <f>VLOOKUP(C21,'Active 1'!C$21:E$972,3,FALSE)</f>
        <v>363.99868890037095</v>
      </c>
      <c r="F21" s="16" t="s">
        <v>34</v>
      </c>
      <c r="G21" s="13" t="str">
        <f t="shared" si="4"/>
        <v>47464.1582</v>
      </c>
      <c r="H21" s="9">
        <f t="shared" si="5"/>
        <v>364</v>
      </c>
      <c r="I21" s="39" t="s">
        <v>109</v>
      </c>
      <c r="J21" s="40" t="s">
        <v>110</v>
      </c>
      <c r="K21" s="39">
        <v>364</v>
      </c>
      <c r="L21" s="39" t="s">
        <v>111</v>
      </c>
      <c r="M21" s="40" t="s">
        <v>63</v>
      </c>
      <c r="N21" s="40" t="s">
        <v>35</v>
      </c>
      <c r="O21" s="41" t="s">
        <v>105</v>
      </c>
      <c r="P21" s="41" t="s">
        <v>66</v>
      </c>
    </row>
    <row r="22" spans="1:16" ht="12.75" customHeight="1" thickBot="1">
      <c r="A22" s="9" t="str">
        <f t="shared" si="0"/>
        <v> ASS 198.137 </v>
      </c>
      <c r="B22" s="16" t="str">
        <f t="shared" si="1"/>
        <v>I</v>
      </c>
      <c r="C22" s="9">
        <f t="shared" si="2"/>
        <v>47464.160300000003</v>
      </c>
      <c r="D22" s="13" t="str">
        <f t="shared" si="3"/>
        <v>vis</v>
      </c>
      <c r="E22" s="38">
        <f>VLOOKUP(C22,'Active 1'!C$21:E$972,3,FALSE)</f>
        <v>363.99882637337009</v>
      </c>
      <c r="F22" s="16" t="s">
        <v>34</v>
      </c>
      <c r="G22" s="13" t="str">
        <f t="shared" si="4"/>
        <v>47464.1603</v>
      </c>
      <c r="H22" s="9">
        <f t="shared" si="5"/>
        <v>364</v>
      </c>
      <c r="I22" s="39" t="s">
        <v>112</v>
      </c>
      <c r="J22" s="40" t="s">
        <v>113</v>
      </c>
      <c r="K22" s="39">
        <v>364</v>
      </c>
      <c r="L22" s="39" t="s">
        <v>114</v>
      </c>
      <c r="M22" s="40" t="s">
        <v>63</v>
      </c>
      <c r="N22" s="40" t="s">
        <v>64</v>
      </c>
      <c r="O22" s="41" t="s">
        <v>105</v>
      </c>
      <c r="P22" s="41" t="s">
        <v>66</v>
      </c>
    </row>
    <row r="23" spans="1:16" ht="12.75" customHeight="1" thickBot="1">
      <c r="A23" s="9" t="str">
        <f t="shared" si="0"/>
        <v>BAVM 52 </v>
      </c>
      <c r="B23" s="16" t="str">
        <f t="shared" si="1"/>
        <v>I</v>
      </c>
      <c r="C23" s="9">
        <f t="shared" si="2"/>
        <v>47540.538</v>
      </c>
      <c r="D23" s="13" t="str">
        <f t="shared" si="3"/>
        <v>vis</v>
      </c>
      <c r="E23" s="38">
        <f>VLOOKUP(C23,'Active 1'!C$21:E$972,3,FALSE)</f>
        <v>368.99876516515377</v>
      </c>
      <c r="F23" s="16" t="s">
        <v>34</v>
      </c>
      <c r="G23" s="13" t="str">
        <f t="shared" si="4"/>
        <v>47540.538</v>
      </c>
      <c r="H23" s="9">
        <f t="shared" si="5"/>
        <v>369</v>
      </c>
      <c r="I23" s="39" t="s">
        <v>115</v>
      </c>
      <c r="J23" s="40" t="s">
        <v>116</v>
      </c>
      <c r="K23" s="39">
        <v>369</v>
      </c>
      <c r="L23" s="39" t="s">
        <v>117</v>
      </c>
      <c r="M23" s="40" t="s">
        <v>59</v>
      </c>
      <c r="N23" s="40"/>
      <c r="O23" s="41" t="s">
        <v>100</v>
      </c>
      <c r="P23" s="42" t="s">
        <v>118</v>
      </c>
    </row>
    <row r="24" spans="1:16" ht="12.75" customHeight="1" thickBot="1">
      <c r="A24" s="9" t="str">
        <f t="shared" si="0"/>
        <v> ASS 198.137 </v>
      </c>
      <c r="B24" s="16" t="str">
        <f t="shared" si="1"/>
        <v>I</v>
      </c>
      <c r="C24" s="9">
        <f t="shared" si="2"/>
        <v>48182.125500000002</v>
      </c>
      <c r="D24" s="13" t="str">
        <f t="shared" si="3"/>
        <v>vis</v>
      </c>
      <c r="E24" s="38">
        <f>VLOOKUP(C24,'Active 1'!C$21:E$972,3,FALSE)</f>
        <v>410.99922118273003</v>
      </c>
      <c r="F24" s="16" t="s">
        <v>34</v>
      </c>
      <c r="G24" s="13" t="str">
        <f t="shared" si="4"/>
        <v>48182.1255</v>
      </c>
      <c r="H24" s="9">
        <f t="shared" si="5"/>
        <v>411</v>
      </c>
      <c r="I24" s="39" t="s">
        <v>119</v>
      </c>
      <c r="J24" s="40" t="s">
        <v>120</v>
      </c>
      <c r="K24" s="39">
        <v>411</v>
      </c>
      <c r="L24" s="39" t="s">
        <v>121</v>
      </c>
      <c r="M24" s="40" t="s">
        <v>63</v>
      </c>
      <c r="N24" s="40" t="s">
        <v>79</v>
      </c>
      <c r="O24" s="41" t="s">
        <v>105</v>
      </c>
      <c r="P24" s="41" t="s">
        <v>66</v>
      </c>
    </row>
    <row r="25" spans="1:16">
      <c r="B25" s="16"/>
      <c r="F25" s="16"/>
    </row>
    <row r="26" spans="1:16">
      <c r="B26" s="16"/>
      <c r="F26" s="16"/>
    </row>
    <row r="27" spans="1:16">
      <c r="B27" s="16"/>
      <c r="F27" s="16"/>
    </row>
    <row r="28" spans="1:16">
      <c r="B28" s="16"/>
      <c r="F28" s="16"/>
    </row>
    <row r="29" spans="1:16">
      <c r="B29" s="16"/>
      <c r="F29" s="16"/>
    </row>
    <row r="30" spans="1:16">
      <c r="B30" s="16"/>
      <c r="F30" s="16"/>
    </row>
    <row r="31" spans="1:16">
      <c r="B31" s="16"/>
      <c r="F31" s="16"/>
    </row>
    <row r="32" spans="1:16">
      <c r="B32" s="16"/>
      <c r="F32" s="16"/>
    </row>
    <row r="33" spans="2:6">
      <c r="B33" s="16"/>
      <c r="F33" s="16"/>
    </row>
    <row r="34" spans="2:6">
      <c r="B34" s="16"/>
      <c r="F34" s="16"/>
    </row>
    <row r="35" spans="2:6">
      <c r="B35" s="16"/>
      <c r="F35" s="16"/>
    </row>
    <row r="36" spans="2:6">
      <c r="B36" s="16"/>
      <c r="F36" s="16"/>
    </row>
    <row r="37" spans="2:6">
      <c r="B37" s="16"/>
      <c r="F37" s="16"/>
    </row>
    <row r="38" spans="2:6">
      <c r="B38" s="16"/>
      <c r="F38" s="16"/>
    </row>
    <row r="39" spans="2:6">
      <c r="B39" s="16"/>
      <c r="F39" s="16"/>
    </row>
    <row r="40" spans="2:6">
      <c r="B40" s="16"/>
      <c r="F40" s="16"/>
    </row>
    <row r="41" spans="2:6">
      <c r="B41" s="16"/>
      <c r="F41" s="16"/>
    </row>
    <row r="42" spans="2:6">
      <c r="B42" s="16"/>
      <c r="F42" s="16"/>
    </row>
    <row r="43" spans="2:6">
      <c r="B43" s="16"/>
      <c r="F43" s="16"/>
    </row>
    <row r="44" spans="2:6">
      <c r="B44" s="16"/>
      <c r="F44" s="16"/>
    </row>
    <row r="45" spans="2:6">
      <c r="B45" s="16"/>
      <c r="F45" s="16"/>
    </row>
    <row r="46" spans="2:6">
      <c r="B46" s="16"/>
      <c r="F46" s="16"/>
    </row>
    <row r="47" spans="2:6">
      <c r="B47" s="16"/>
      <c r="F47" s="16"/>
    </row>
    <row r="48" spans="2:6">
      <c r="B48" s="16"/>
      <c r="F48" s="16"/>
    </row>
    <row r="49" spans="2:6">
      <c r="B49" s="16"/>
      <c r="F49" s="16"/>
    </row>
    <row r="50" spans="2:6">
      <c r="B50" s="16"/>
      <c r="F50" s="16"/>
    </row>
    <row r="51" spans="2:6">
      <c r="B51" s="16"/>
      <c r="F51" s="16"/>
    </row>
    <row r="52" spans="2:6">
      <c r="B52" s="16"/>
      <c r="F52" s="16"/>
    </row>
    <row r="53" spans="2:6">
      <c r="B53" s="16"/>
      <c r="F53" s="16"/>
    </row>
    <row r="54" spans="2:6">
      <c r="B54" s="16"/>
      <c r="F54" s="16"/>
    </row>
    <row r="55" spans="2:6">
      <c r="B55" s="16"/>
      <c r="F55" s="16"/>
    </row>
    <row r="56" spans="2:6">
      <c r="B56" s="16"/>
      <c r="F56" s="16"/>
    </row>
    <row r="57" spans="2:6">
      <c r="B57" s="16"/>
      <c r="F57" s="16"/>
    </row>
    <row r="58" spans="2:6">
      <c r="B58" s="16"/>
      <c r="F58" s="16"/>
    </row>
    <row r="59" spans="2:6">
      <c r="B59" s="16"/>
      <c r="F59" s="16"/>
    </row>
    <row r="60" spans="2:6">
      <c r="B60" s="16"/>
      <c r="F60" s="16"/>
    </row>
    <row r="61" spans="2:6">
      <c r="B61" s="16"/>
      <c r="F61" s="16"/>
    </row>
    <row r="62" spans="2:6">
      <c r="B62" s="16"/>
      <c r="F62" s="16"/>
    </row>
    <row r="63" spans="2:6">
      <c r="B63" s="16"/>
      <c r="F63" s="16"/>
    </row>
    <row r="64" spans="2: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</sheetData>
  <phoneticPr fontId="7" type="noConversion"/>
  <hyperlinks>
    <hyperlink ref="P16" r:id="rId1" display="http://www.konkoly.hu/cgi-bin/IBVS?1523"/>
    <hyperlink ref="P17" r:id="rId2" display="http://www.konkoly.hu/cgi-bin/IBVS?1882"/>
    <hyperlink ref="P18" r:id="rId3" display="http://www.bav-astro.de/sfs/BAVM_link.php?BAVMnr=46"/>
    <hyperlink ref="P23" r:id="rId4" display="http://www.bav-astro.de/sfs/BAVM_link.php?BAVMnr=5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2024-01-23T03:45:31Z</dcterms:modified>
</cp:coreProperties>
</file>