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F4E3787-3B74-49CF-95B0-11C383205E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2" i="1" l="1"/>
  <c r="Q86" i="1"/>
  <c r="C7" i="1"/>
  <c r="E92" i="1"/>
  <c r="F92" i="1"/>
  <c r="C8" i="1"/>
  <c r="E21" i="1"/>
  <c r="F21" i="1"/>
  <c r="G21" i="1"/>
  <c r="I21" i="1"/>
  <c r="E23" i="1"/>
  <c r="F23" i="1"/>
  <c r="G23" i="1"/>
  <c r="I23" i="1"/>
  <c r="E24" i="1"/>
  <c r="F24" i="1"/>
  <c r="G24" i="1"/>
  <c r="I24" i="1"/>
  <c r="E26" i="1"/>
  <c r="F26" i="1"/>
  <c r="G26" i="1"/>
  <c r="I26" i="1"/>
  <c r="E63" i="1"/>
  <c r="F63" i="1"/>
  <c r="G63" i="1"/>
  <c r="I63" i="1"/>
  <c r="E66" i="1"/>
  <c r="F66" i="1"/>
  <c r="G66" i="1"/>
  <c r="I66" i="1"/>
  <c r="E74" i="1"/>
  <c r="F74" i="1"/>
  <c r="G74" i="1"/>
  <c r="I74" i="1"/>
  <c r="E86" i="1"/>
  <c r="F86" i="1"/>
  <c r="G86" i="1"/>
  <c r="I86" i="1"/>
  <c r="E67" i="1"/>
  <c r="F67" i="1"/>
  <c r="G67" i="1"/>
  <c r="H67" i="1"/>
  <c r="E71" i="1"/>
  <c r="F71" i="1"/>
  <c r="G71" i="1"/>
  <c r="H71" i="1"/>
  <c r="E72" i="1"/>
  <c r="F72" i="1"/>
  <c r="G72" i="1"/>
  <c r="E73" i="1"/>
  <c r="F73" i="1"/>
  <c r="G73" i="1"/>
  <c r="H73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2" i="1"/>
  <c r="F82" i="1"/>
  <c r="G82" i="1"/>
  <c r="E83" i="1"/>
  <c r="F83" i="1"/>
  <c r="G83" i="1"/>
  <c r="J83" i="1"/>
  <c r="E85" i="1"/>
  <c r="F85" i="1"/>
  <c r="G85" i="1"/>
  <c r="J85" i="1"/>
  <c r="E87" i="1"/>
  <c r="F87" i="1"/>
  <c r="G87" i="1"/>
  <c r="J87" i="1"/>
  <c r="E88" i="1"/>
  <c r="F88" i="1"/>
  <c r="E89" i="1"/>
  <c r="F89" i="1"/>
  <c r="G89" i="1"/>
  <c r="J89" i="1"/>
  <c r="E90" i="1"/>
  <c r="F90" i="1"/>
  <c r="E91" i="1"/>
  <c r="F91" i="1"/>
  <c r="G91" i="1"/>
  <c r="K91" i="1"/>
  <c r="D9" i="1"/>
  <c r="C9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4" i="1"/>
  <c r="F64" i="1"/>
  <c r="G64" i="1"/>
  <c r="H64" i="1"/>
  <c r="E65" i="1"/>
  <c r="F65" i="1"/>
  <c r="G65" i="1"/>
  <c r="H65" i="1"/>
  <c r="E81" i="1"/>
  <c r="F81" i="1"/>
  <c r="G81" i="1"/>
  <c r="I81" i="1"/>
  <c r="E84" i="1"/>
  <c r="F84" i="1"/>
  <c r="G84" i="1"/>
  <c r="I84" i="1"/>
  <c r="Q74" i="1"/>
  <c r="Q66" i="1"/>
  <c r="Q63" i="1"/>
  <c r="Q26" i="1"/>
  <c r="Q25" i="1"/>
  <c r="Q24" i="1"/>
  <c r="Q23" i="1"/>
  <c r="Q21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81" i="2"/>
  <c r="C81" i="2"/>
  <c r="E81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80" i="2"/>
  <c r="C80" i="2"/>
  <c r="G79" i="2"/>
  <c r="C79" i="2"/>
  <c r="G78" i="2"/>
  <c r="C78" i="2"/>
  <c r="E78" i="2"/>
  <c r="G77" i="2"/>
  <c r="C77" i="2"/>
  <c r="G76" i="2"/>
  <c r="C76" i="2"/>
  <c r="G75" i="2"/>
  <c r="C75" i="2"/>
  <c r="G74" i="2"/>
  <c r="C74" i="2"/>
  <c r="E74" i="2"/>
  <c r="G73" i="2"/>
  <c r="C73" i="2"/>
  <c r="E73" i="2"/>
  <c r="G72" i="2"/>
  <c r="C72" i="2"/>
  <c r="E72" i="2"/>
  <c r="G71" i="2"/>
  <c r="C71" i="2"/>
  <c r="E71" i="2"/>
  <c r="G14" i="2"/>
  <c r="C14" i="2"/>
  <c r="E14" i="2"/>
  <c r="E70" i="1"/>
  <c r="G13" i="2"/>
  <c r="C13" i="2"/>
  <c r="E13" i="2"/>
  <c r="E69" i="1"/>
  <c r="G12" i="2"/>
  <c r="C12" i="2"/>
  <c r="E12" i="2"/>
  <c r="E68" i="1"/>
  <c r="G70" i="2"/>
  <c r="C70" i="2"/>
  <c r="E70" i="2"/>
  <c r="G69" i="2"/>
  <c r="C69" i="2"/>
  <c r="E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E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G27" i="2"/>
  <c r="C27" i="2"/>
  <c r="E27" i="2"/>
  <c r="G26" i="2"/>
  <c r="C26" i="2"/>
  <c r="E26" i="2"/>
  <c r="G11" i="2"/>
  <c r="C11" i="2"/>
  <c r="E11" i="2"/>
  <c r="G25" i="2"/>
  <c r="C25" i="2"/>
  <c r="E25" i="2"/>
  <c r="H24" i="2"/>
  <c r="F24" i="2"/>
  <c r="D24" i="2"/>
  <c r="B24" i="2"/>
  <c r="A24" i="2"/>
  <c r="H23" i="2"/>
  <c r="B23" i="2"/>
  <c r="F23" i="2"/>
  <c r="D23" i="2"/>
  <c r="A23" i="2"/>
  <c r="H22" i="2"/>
  <c r="F22" i="2"/>
  <c r="D22" i="2"/>
  <c r="B22" i="2"/>
  <c r="A22" i="2"/>
  <c r="H21" i="2"/>
  <c r="B21" i="2"/>
  <c r="F21" i="2"/>
  <c r="D21" i="2"/>
  <c r="A21" i="2"/>
  <c r="H20" i="2"/>
  <c r="D20" i="2"/>
  <c r="B20" i="2"/>
  <c r="A20" i="2"/>
  <c r="H81" i="2"/>
  <c r="D81" i="2"/>
  <c r="B81" i="2"/>
  <c r="A81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14" i="2"/>
  <c r="D14" i="2"/>
  <c r="B14" i="2"/>
  <c r="A14" i="2"/>
  <c r="H13" i="2"/>
  <c r="D13" i="2"/>
  <c r="B13" i="2"/>
  <c r="A13" i="2"/>
  <c r="H12" i="2"/>
  <c r="D12" i="2"/>
  <c r="B12" i="2"/>
  <c r="A12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11" i="2"/>
  <c r="D11" i="2"/>
  <c r="B11" i="2"/>
  <c r="A11" i="2"/>
  <c r="H25" i="2"/>
  <c r="D25" i="2"/>
  <c r="B25" i="2"/>
  <c r="A25" i="2"/>
  <c r="Q91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F68" i="1"/>
  <c r="G68" i="1"/>
  <c r="I68" i="1"/>
  <c r="F69" i="1"/>
  <c r="G69" i="1"/>
  <c r="I69" i="1"/>
  <c r="F70" i="1"/>
  <c r="G70" i="1"/>
  <c r="I70" i="1"/>
  <c r="Q90" i="1"/>
  <c r="F16" i="1"/>
  <c r="Q89" i="1"/>
  <c r="Q87" i="1"/>
  <c r="Q88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5" i="1"/>
  <c r="Q67" i="1"/>
  <c r="Q71" i="1"/>
  <c r="Q72" i="1"/>
  <c r="Q73" i="1"/>
  <c r="Q75" i="1"/>
  <c r="Q76" i="1"/>
  <c r="Q77" i="1"/>
  <c r="Q78" i="1"/>
  <c r="Q79" i="1"/>
  <c r="Q80" i="1"/>
  <c r="H72" i="1"/>
  <c r="Q82" i="1"/>
  <c r="Q83" i="1"/>
  <c r="Q85" i="1"/>
  <c r="J82" i="1"/>
  <c r="Q68" i="1"/>
  <c r="Q69" i="1"/>
  <c r="Q70" i="1"/>
  <c r="Q81" i="1"/>
  <c r="Q84" i="1"/>
  <c r="E80" i="2"/>
  <c r="E79" i="2"/>
  <c r="E77" i="2"/>
  <c r="E76" i="2"/>
  <c r="E75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2" i="2"/>
  <c r="E51" i="2"/>
  <c r="E50" i="2"/>
  <c r="E48" i="2"/>
  <c r="E47" i="2"/>
  <c r="E46" i="2"/>
  <c r="E44" i="2"/>
  <c r="E43" i="2"/>
  <c r="E42" i="2"/>
  <c r="E40" i="2"/>
  <c r="E39" i="2"/>
  <c r="E38" i="2"/>
  <c r="E36" i="2"/>
  <c r="E22" i="1"/>
  <c r="F22" i="1"/>
  <c r="C17" i="1"/>
  <c r="Q22" i="1"/>
  <c r="E28" i="2"/>
  <c r="G88" i="1"/>
  <c r="E25" i="1"/>
  <c r="F25" i="1"/>
  <c r="G25" i="1"/>
  <c r="I25" i="1"/>
  <c r="G92" i="1"/>
  <c r="K92" i="1"/>
  <c r="G90" i="1"/>
  <c r="J90" i="1"/>
  <c r="J88" i="1"/>
  <c r="C11" i="1"/>
  <c r="C12" i="1"/>
  <c r="C16" i="1" l="1"/>
  <c r="D18" i="1" s="1"/>
  <c r="O77" i="1"/>
  <c r="O87" i="1"/>
  <c r="O71" i="1"/>
  <c r="O82" i="1"/>
  <c r="O75" i="1"/>
  <c r="O76" i="1"/>
  <c r="O79" i="1"/>
  <c r="O85" i="1"/>
  <c r="O89" i="1"/>
  <c r="O80" i="1"/>
  <c r="O74" i="1"/>
  <c r="O84" i="1"/>
  <c r="C15" i="1"/>
  <c r="O78" i="1"/>
  <c r="O90" i="1"/>
  <c r="O83" i="1"/>
  <c r="O73" i="1"/>
  <c r="O70" i="1"/>
  <c r="O91" i="1"/>
  <c r="O92" i="1"/>
  <c r="O72" i="1"/>
  <c r="O69" i="1"/>
  <c r="O88" i="1"/>
  <c r="O81" i="1"/>
  <c r="O86" i="1"/>
  <c r="F17" i="1"/>
  <c r="C18" i="1" l="1"/>
  <c r="F18" i="1"/>
  <c r="F19" i="1" s="1"/>
</calcChain>
</file>

<file path=xl/sharedStrings.xml><?xml version="1.0" encoding="utf-8"?>
<sst xmlns="http://schemas.openxmlformats.org/spreadsheetml/2006/main" count="711" uniqueCount="309">
  <si>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</si>
  <si>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</si>
  <si>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</si>
  <si>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</si>
  <si>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</si>
  <si>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</si>
  <si>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</si>
  <si>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</si>
  <si>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</si>
  <si>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</si>
  <si>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</si>
  <si>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</si>
  <si>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</si>
  <si>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</si>
  <si>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</si>
  <si>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</si>
  <si>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</si>
  <si>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</si>
  <si>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</si>
  <si>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</si>
  <si>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</si>
  <si>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</si>
  <si>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</si>
  <si>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</si>
  <si>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</si>
  <si>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</si>
  <si>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</si>
  <si>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</si>
  <si>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</si>
  <si>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Bull.88</t>
  </si>
  <si>
    <t>B</t>
  </si>
  <si>
    <t>BBSAG Bull.90</t>
  </si>
  <si>
    <t>BBSAG Bull.92</t>
  </si>
  <si>
    <t>BBSAG Bull.109</t>
  </si>
  <si>
    <t>BBSAG Bull.116</t>
  </si>
  <si>
    <t>IBVS 5016</t>
  </si>
  <si>
    <t>IBVS 4373</t>
  </si>
  <si>
    <t>pg</t>
  </si>
  <si>
    <t>IBVS 5296</t>
  </si>
  <si>
    <t>IBVS 5643</t>
  </si>
  <si>
    <t>E</t>
  </si>
  <si>
    <t># of data points:</t>
  </si>
  <si>
    <t>PX Cep / GSC 04261-01335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</si>
  <si>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</si>
  <si>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</si>
  <si>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</si>
  <si>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</si>
  <si>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</si>
  <si>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</si>
  <si>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</si>
  <si>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</si>
  <si>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</si>
  <si>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I</t>
  </si>
  <si>
    <t>OEJV 0160</t>
  </si>
  <si>
    <t>BAD?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</si>
  <si>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</si>
  <si>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</si>
  <si>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</si>
  <si>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</si>
  <si>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</si>
  <si>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</si>
  <si>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</t>
  </si>
  <si>
    <t>V</t>
  </si>
  <si>
    <t>vis</t>
  </si>
  <si>
    <t>2436076.37 </t>
  </si>
  <si>
    <t> 25.08.1957 20:52 </t>
  </si>
  <si>
    <t> -0.53 </t>
  </si>
  <si>
    <t>P </t>
  </si>
  <si>
    <t> G.Romano </t>
  </si>
  <si>
    <t> PPAD 125.16 </t>
  </si>
  <si>
    <t>2436098.33 </t>
  </si>
  <si>
    <t> 16.09.1957 19:55 </t>
  </si>
  <si>
    <t> -0.46 </t>
  </si>
  <si>
    <t>2436192.25 </t>
  </si>
  <si>
    <t> 19.12.1957 18:00 </t>
  </si>
  <si>
    <t> -0.34 </t>
  </si>
  <si>
    <t>2436220.25 </t>
  </si>
  <si>
    <t> 16.01.1958 18:00 </t>
  </si>
  <si>
    <t> -0.49 </t>
  </si>
  <si>
    <t>2436370.43 </t>
  </si>
  <si>
    <t> 15.06.1958 22:19 </t>
  </si>
  <si>
    <t> -0.39 </t>
  </si>
  <si>
    <t>2436492.27 </t>
  </si>
  <si>
    <t> 15.10.1958 18:28 </t>
  </si>
  <si>
    <t> -0.50 </t>
  </si>
  <si>
    <t>2436814.464 </t>
  </si>
  <si>
    <t> 02.09.1959 23:08 </t>
  </si>
  <si>
    <t> -0.376 </t>
  </si>
  <si>
    <t> C.Heerlein </t>
  </si>
  <si>
    <t>IBVS 4373 </t>
  </si>
  <si>
    <t>2436839.410 </t>
  </si>
  <si>
    <t> 27.09.1959 21:50 </t>
  </si>
  <si>
    <t> -0.445 </t>
  </si>
  <si>
    <t>2437577.421 </t>
  </si>
  <si>
    <t> 04.10.1961 22:06 </t>
  </si>
  <si>
    <t>2438243.511 </t>
  </si>
  <si>
    <t> 02.08.1963 00:15 </t>
  </si>
  <si>
    <t> -0.309 </t>
  </si>
  <si>
    <t>2438268.544 </t>
  </si>
  <si>
    <t> 27.08.1963 01:03 </t>
  </si>
  <si>
    <t> -0.291 </t>
  </si>
  <si>
    <t>2438290.449 </t>
  </si>
  <si>
    <t> 17.09.1963 22:46 </t>
  </si>
  <si>
    <t> -0.274 </t>
  </si>
  <si>
    <t>2438315.383 </t>
  </si>
  <si>
    <t> 12.10.1963 21:11 </t>
  </si>
  <si>
    <t> -0.355 </t>
  </si>
  <si>
    <t>2438587.506 </t>
  </si>
  <si>
    <t> 11.07.1964 00:08 </t>
  </si>
  <si>
    <t> -0.270 </t>
  </si>
  <si>
    <t>2438709.354 </t>
  </si>
  <si>
    <t> 09.11.1964 20:29 </t>
  </si>
  <si>
    <t> -0.370 </t>
  </si>
  <si>
    <t>2438709.384 </t>
  </si>
  <si>
    <t> 09.11.1964 21:12 </t>
  </si>
  <si>
    <t> -0.340 </t>
  </si>
  <si>
    <t>2438753.271 </t>
  </si>
  <si>
    <t> 23.12.1964 18:30 </t>
  </si>
  <si>
    <t> -0.229 </t>
  </si>
  <si>
    <t>2439031.501 </t>
  </si>
  <si>
    <t> 28.09.1965 00:01 </t>
  </si>
  <si>
    <t> -0.290 </t>
  </si>
  <si>
    <t>2439053.391 </t>
  </si>
  <si>
    <t> 19.10.1965 21:23 </t>
  </si>
  <si>
    <t> -0.288 </t>
  </si>
  <si>
    <t>2439350.521 </t>
  </si>
  <si>
    <t> 13.08.1966 00:30 </t>
  </si>
  <si>
    <t> -0.211 </t>
  </si>
  <si>
    <t>2439597.569 </t>
  </si>
  <si>
    <t> 17.04.1967 01:39 </t>
  </si>
  <si>
    <t> -0.186 </t>
  </si>
  <si>
    <t>2439672.498 </t>
  </si>
  <si>
    <t> 30.06.1967 23:57 </t>
  </si>
  <si>
    <t> -0.302 </t>
  </si>
  <si>
    <t>2440066.508 </t>
  </si>
  <si>
    <t> 29.07.1968 00:11 </t>
  </si>
  <si>
    <t> -0.277 </t>
  </si>
  <si>
    <t>2440088.430 </t>
  </si>
  <si>
    <t> 19.08.1968 22:19 </t>
  </si>
  <si>
    <t> -0.243 </t>
  </si>
  <si>
    <t>2440457.488 </t>
  </si>
  <si>
    <t> 23.08.1969 23:42 </t>
  </si>
  <si>
    <t> -0.156 </t>
  </si>
  <si>
    <t>2440504.398 </t>
  </si>
  <si>
    <t> 09.10.1969 21:33 </t>
  </si>
  <si>
    <t> -0.149 </t>
  </si>
  <si>
    <t>2440504.428 </t>
  </si>
  <si>
    <t> 09.10.1969 22:16 </t>
  </si>
  <si>
    <t> -0.119 </t>
  </si>
  <si>
    <t>2440507.413 </t>
  </si>
  <si>
    <t> 12.10.1969 21:54 </t>
  </si>
  <si>
    <t> -0.261 </t>
  </si>
  <si>
    <t>2441517.479 </t>
  </si>
  <si>
    <t> 18.07.1972 23:29 </t>
  </si>
  <si>
    <t> -0.174 </t>
  </si>
  <si>
    <t>2441567.451 </t>
  </si>
  <si>
    <t> 06.09.1972 22:49 </t>
  </si>
  <si>
    <t> -0.232 </t>
  </si>
  <si>
    <t>2441983.345 </t>
  </si>
  <si>
    <t> 27.10.1973 20:16 </t>
  </si>
  <si>
    <t> -0.212 </t>
  </si>
  <si>
    <t>2442602.497 </t>
  </si>
  <si>
    <t> 08.07.1975 23:55 </t>
  </si>
  <si>
    <t> -0.180 </t>
  </si>
  <si>
    <t>2442627.483 </t>
  </si>
  <si>
    <t> 02.08.1975 23:35 </t>
  </si>
  <si>
    <t> -0.209 </t>
  </si>
  <si>
    <t>2443340.472 </t>
  </si>
  <si>
    <t> 15.07.1977 23:19 </t>
  </si>
  <si>
    <t> -0.146 </t>
  </si>
  <si>
    <t>2444172.261 </t>
  </si>
  <si>
    <t> 25.10.1979 18:15 </t>
  </si>
  <si>
    <t> -0.105 </t>
  </si>
  <si>
    <t>2444541.293 </t>
  </si>
  <si>
    <t> 28.10.1980 19:01 </t>
  </si>
  <si>
    <t> -0.043 </t>
  </si>
  <si>
    <t>2444816.464 </t>
  </si>
  <si>
    <t> 30.07.1981 23:08 </t>
  </si>
  <si>
    <t> -0.037 </t>
  </si>
  <si>
    <t>2444985.236 </t>
  </si>
  <si>
    <t> 15.01.1982 17:39 </t>
  </si>
  <si>
    <t> -0.116 </t>
  </si>
  <si>
    <t>2445138.501 </t>
  </si>
  <si>
    <t> 18.06.1982 00:01 </t>
  </si>
  <si>
    <t> -0.068 </t>
  </si>
  <si>
    <t>2445163.439 </t>
  </si>
  <si>
    <t> 12.07.1982 22:32 </t>
  </si>
  <si>
    <t> -0.145 </t>
  </si>
  <si>
    <t>2445676.273 </t>
  </si>
  <si>
    <t> 07.12.1983 18:33 </t>
  </si>
  <si>
    <t> -0.117 </t>
  </si>
  <si>
    <t>2445973.341 </t>
  </si>
  <si>
    <t> 29.09.1984 20:11 </t>
  </si>
  <si>
    <t> -0.102 </t>
  </si>
  <si>
    <t>2446270.440 </t>
  </si>
  <si>
    <t> 23.07.1985 22:33 </t>
  </si>
  <si>
    <t> -0.056 </t>
  </si>
  <si>
    <t>E </t>
  </si>
  <si>
    <t>?</t>
  </si>
  <si>
    <t> R.Boninsegna </t>
  </si>
  <si>
    <t>IBVS 3048 </t>
  </si>
  <si>
    <t>2446270.497 </t>
  </si>
  <si>
    <t> 23.07.1985 23:55 </t>
  </si>
  <si>
    <t> 0.001 </t>
  </si>
  <si>
    <t>2446320.405 </t>
  </si>
  <si>
    <t> 11.09.1985 21:43 </t>
  </si>
  <si>
    <t> -0.121 </t>
  </si>
  <si>
    <t>2446642.543 </t>
  </si>
  <si>
    <t> 31.07.1986 01:01 </t>
  </si>
  <si>
    <t> -0.050 </t>
  </si>
  <si>
    <t> BRNO 31.36 </t>
  </si>
  <si>
    <t>2446714.376 </t>
  </si>
  <si>
    <t> 10.10.1986 21:01 </t>
  </si>
  <si>
    <t> -0.135 </t>
  </si>
  <si>
    <t>2447330.439 </t>
  </si>
  <si>
    <t> 17.06.1988 22:32 </t>
  </si>
  <si>
    <t> -0.066 </t>
  </si>
  <si>
    <t>V </t>
  </si>
  <si>
    <t> K.Locher </t>
  </si>
  <si>
    <t> BBS 88 </t>
  </si>
  <si>
    <t>2447449.283 </t>
  </si>
  <si>
    <t> 14.10.1988 18:47 </t>
  </si>
  <si>
    <t> BBS 90 </t>
  </si>
  <si>
    <t>2447746.355 </t>
  </si>
  <si>
    <t> 07.08.1989 20:31 </t>
  </si>
  <si>
    <t> -0.023 </t>
  </si>
  <si>
    <t> BBS 92 </t>
  </si>
  <si>
    <t>2448093.498 </t>
  </si>
  <si>
    <t> 20.07.1990 23:57 </t>
  </si>
  <si>
    <t> 0.037 </t>
  </si>
  <si>
    <t>2448096.505 </t>
  </si>
  <si>
    <t> 24.07.1990 00:07 </t>
  </si>
  <si>
    <t> -0.083 </t>
  </si>
  <si>
    <t>2448512.403 </t>
  </si>
  <si>
    <t> 12.09.1991 21:40 </t>
  </si>
  <si>
    <t> -0.058 </t>
  </si>
  <si>
    <t>2448512.430 </t>
  </si>
  <si>
    <t> 12.09.1991 22:19 </t>
  </si>
  <si>
    <t> -0.031 </t>
  </si>
  <si>
    <t> J.Borovicka </t>
  </si>
  <si>
    <t> BRNO 31 </t>
  </si>
  <si>
    <t>2448534.366 </t>
  </si>
  <si>
    <t> 04.10.1991 20:47 </t>
  </si>
  <si>
    <t> 0.016 </t>
  </si>
  <si>
    <t>2448537.390 </t>
  </si>
  <si>
    <t> 07.10.1991 21:21 </t>
  </si>
  <si>
    <t> -0.086 </t>
  </si>
  <si>
    <t>2448559.300 </t>
  </si>
  <si>
    <t> 29.10.1991 19:12 </t>
  </si>
  <si>
    <t> -0.065 </t>
  </si>
  <si>
    <t>2448559.360 </t>
  </si>
  <si>
    <t> 29.10.1991 20:38 </t>
  </si>
  <si>
    <t> -0.005 </t>
  </si>
  <si>
    <t>2449250.379 </t>
  </si>
  <si>
    <t> 19.09.1993 21:05 </t>
  </si>
  <si>
    <t> -0.024 </t>
  </si>
  <si>
    <t>2449688.252 </t>
  </si>
  <si>
    <t> 01.12.1994 18:02 </t>
  </si>
  <si>
    <t> 0.087 </t>
  </si>
  <si>
    <t>2449844.526 </t>
  </si>
  <si>
    <t> 07.05.1995 00:37 </t>
  </si>
  <si>
    <t> 0.018 </t>
  </si>
  <si>
    <t> BBS 109 </t>
  </si>
  <si>
    <t>2450360.4344 </t>
  </si>
  <si>
    <t> 03.10.1996 22:25 </t>
  </si>
  <si>
    <t> -0.0073 </t>
  </si>
  <si>
    <t>o</t>
  </si>
  <si>
    <t> F.Agerer </t>
  </si>
  <si>
    <t>BAVM 132 </t>
  </si>
  <si>
    <t>2450707.5251 </t>
  </si>
  <si>
    <t> 16.09.1997 00:36 </t>
  </si>
  <si>
    <t> 0.0008 </t>
  </si>
  <si>
    <t>2450751.346 </t>
  </si>
  <si>
    <t> 29.10.1997 20:18 </t>
  </si>
  <si>
    <t> 0.046 </t>
  </si>
  <si>
    <t> BBS 116 </t>
  </si>
  <si>
    <t>2450904.5165 </t>
  </si>
  <si>
    <t> 01.04.1998 00:23 </t>
  </si>
  <si>
    <t> -0.0006 </t>
  </si>
  <si>
    <t>2451167.227 </t>
  </si>
  <si>
    <t> 19.12.1998 17:26 </t>
  </si>
  <si>
    <t> 0.053 </t>
  </si>
  <si>
    <t> BBS 119 </t>
  </si>
  <si>
    <t>2451667.4892 </t>
  </si>
  <si>
    <t> 02.05.2000 23:44 </t>
  </si>
  <si>
    <t> 0.0158 </t>
  </si>
  <si>
    <t>BAVM 152 </t>
  </si>
  <si>
    <t>2452039.5699 </t>
  </si>
  <si>
    <t> 10.05.2001 01:40 </t>
  </si>
  <si>
    <t> -0.0010 </t>
  </si>
  <si>
    <t> K.&amp; M.Rätz </t>
  </si>
  <si>
    <t>2452946.3555 </t>
  </si>
  <si>
    <t> 02.11.2003 20:31 </t>
  </si>
  <si>
    <t> -0.0078 </t>
  </si>
  <si>
    <t>BAVM 172 </t>
  </si>
  <si>
    <t>2455685.5017 </t>
  </si>
  <si>
    <t> 04.05.2011 00:02 </t>
  </si>
  <si>
    <t> 0.0002 </t>
  </si>
  <si>
    <t>C </t>
  </si>
  <si>
    <t>-I</t>
  </si>
  <si>
    <t>BAVM 220 </t>
  </si>
  <si>
    <t>2456007.57449 </t>
  </si>
  <si>
    <t> 21.03.2012 01:47 </t>
  </si>
  <si>
    <t>1121</t>
  </si>
  <si>
    <t> 0.00541 </t>
  </si>
  <si>
    <t> L.Brat </t>
  </si>
  <si>
    <t>OEJV 0160 </t>
  </si>
  <si>
    <t>IBVS 3048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</si>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</sst>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/>
    <xf numFmtId="0" fontId="0" fillId="0" borderId="9" xfId="0" applyBorder="1" applyAlignment="1"/>
    <xf numFmtId="0" fontId="4" fillId="0" borderId="10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PX Cep - O-C Diagr.</a:t>
            </a:r>
          </a:p>
        </c:rich>
      </c:tx>
      <c:layout>
        <c:manualLayout>
          <c:xMode val="edge"/>
          <c:yMode val="edge"/>
          <c:x val="0.3722871452420701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14859468012961"/>
          <c:w val="0.80467445742904842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Active!$H$21:$H$887</c:f>
              <c:numCache>
                <c:formatCode>General</c:formatCode>
                <c:ptCount val="867"/>
                <c:pt idx="1">
                  <c:v>0</c:v>
                </c:pt>
                <c:pt idx="6">
                  <c:v>5.878600015421398E-2</c:v>
                </c:pt>
                <c:pt idx="7">
                  <c:v>-1.0941999855276663E-2</c:v>
                </c:pt>
                <c:pt idx="8">
                  <c:v>3.6082000086025801E-2</c:v>
                </c:pt>
                <c:pt idx="9">
                  <c:v>8.2323999937216286E-2</c:v>
                </c:pt>
                <c:pt idx="10">
                  <c:v>9.9596000225574244E-2</c:v>
                </c:pt>
                <c:pt idx="11">
                  <c:v>0.11583400001836708</c:v>
                </c:pt>
                <c:pt idx="12">
                  <c:v>3.4105999911844265E-2</c:v>
                </c:pt>
                <c:pt idx="13">
                  <c:v>0.11106400004791794</c:v>
                </c:pt>
                <c:pt idx="14">
                  <c:v>7.3899998169508763E-3</c:v>
                </c:pt>
                <c:pt idx="15">
                  <c:v>3.7390000077721197E-2</c:v>
                </c:pt>
                <c:pt idx="16">
                  <c:v>0.14686600018467288</c:v>
                </c:pt>
                <c:pt idx="17">
                  <c:v>7.6892000164662022E-2</c:v>
                </c:pt>
                <c:pt idx="18">
                  <c:v>7.8129999827069696E-2</c:v>
                </c:pt>
                <c:pt idx="19">
                  <c:v>0.14636000018072082</c:v>
                </c:pt>
                <c:pt idx="20">
                  <c:v>0.16404600013629533</c:v>
                </c:pt>
                <c:pt idx="21">
                  <c:v>4.5862000137276482E-2</c:v>
                </c:pt>
                <c:pt idx="22">
                  <c:v>5.8145999915723223E-2</c:v>
                </c:pt>
                <c:pt idx="23">
                  <c:v>9.1384000166726764E-2</c:v>
                </c:pt>
                <c:pt idx="24">
                  <c:v>0.16739599989523413</c:v>
                </c:pt>
                <c:pt idx="25">
                  <c:v>0.17290600004344014</c:v>
                </c:pt>
                <c:pt idx="26">
                  <c:v>0.20290599983854918</c:v>
                </c:pt>
                <c:pt idx="27">
                  <c:v>6.0940000170376152E-2</c:v>
                </c:pt>
                <c:pt idx="28">
                  <c:v>0.11692199981189333</c:v>
                </c:pt>
                <c:pt idx="29">
                  <c:v>5.7465999881969765E-2</c:v>
                </c:pt>
                <c:pt idx="30">
                  <c:v>6.4988000201992691E-2</c:v>
                </c:pt>
                <c:pt idx="31">
                  <c:v>7.7719999972032383E-2</c:v>
                </c:pt>
                <c:pt idx="32">
                  <c:v>4.7992000007070601E-2</c:v>
                </c:pt>
                <c:pt idx="33">
                  <c:v>8.8744000066071749E-2</c:v>
                </c:pt>
                <c:pt idx="34">
                  <c:v>0.1047879999387078</c:v>
                </c:pt>
                <c:pt idx="35">
                  <c:v>0.15480000006209593</c:v>
                </c:pt>
                <c:pt idx="36">
                  <c:v>0.15279200015356764</c:v>
                </c:pt>
                <c:pt idx="37">
                  <c:v>6.8628000030003022E-2</c:v>
                </c:pt>
                <c:pt idx="38">
                  <c:v>0.11229400016600266</c:v>
                </c:pt>
                <c:pt idx="39">
                  <c:v>3.4565999776532408E-2</c:v>
                </c:pt>
                <c:pt idx="40">
                  <c:v>4.6142000042891596E-2</c:v>
                </c:pt>
                <c:pt idx="41">
                  <c:v>5.2372000012837816E-2</c:v>
                </c:pt>
                <c:pt idx="43">
                  <c:v>0.14660199997160817</c:v>
                </c:pt>
                <c:pt idx="44">
                  <c:v>2.3145999795815442E-2</c:v>
                </c:pt>
                <c:pt idx="46">
                  <c:v>-3.569999840692617E-3</c:v>
                </c:pt>
                <c:pt idx="50">
                  <c:v>0.12642400013282895</c:v>
                </c:pt>
                <c:pt idx="51">
                  <c:v>6.4579998870613053E-3</c:v>
                </c:pt>
                <c:pt idx="52">
                  <c:v>1.7979999931412749E-2</c:v>
                </c:pt>
                <c:pt idx="54">
                  <c:v>9.2217999917920679E-2</c:v>
                </c:pt>
                <c:pt idx="55">
                  <c:v>-1.074799986963626E-2</c:v>
                </c:pt>
                <c:pt idx="56">
                  <c:v>1.0489999811397865E-2</c:v>
                </c:pt>
                <c:pt idx="57">
                  <c:v>7.048999986727722E-2</c:v>
                </c:pt>
                <c:pt idx="58">
                  <c:v>3.0004000189364888E-2</c:v>
                </c:pt>
                <c:pt idx="59">
                  <c:v>0.1277639998588711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8-45B4-93D2-D522D542C3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Active!$D$21:$D$887</c:f>
                <c:numCache>
                  <c:formatCode>General</c:formatCode>
                  <c:ptCount val="8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  <c:pt idx="63">
                    <c:v>8.0000000000000002E-3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Active!$D$21:$D$887</c:f>
                <c:numCache>
                  <c:formatCode>General</c:formatCode>
                  <c:ptCount val="8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  <c:pt idx="63">
                    <c:v>8.0000000000000002E-3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Active!$I$21:$I$887</c:f>
              <c:numCache>
                <c:formatCode>General</c:formatCode>
                <c:ptCount val="867"/>
                <c:pt idx="0">
                  <c:v>-7.1237999996810686E-2</c:v>
                </c:pt>
                <c:pt idx="2">
                  <c:v>0.11101999999664258</c:v>
                </c:pt>
                <c:pt idx="3">
                  <c:v>-3.1674000005295966E-2</c:v>
                </c:pt>
                <c:pt idx="4">
                  <c:v>5.3957999996782746E-2</c:v>
                </c:pt>
                <c:pt idx="5">
                  <c:v>-5.7716000002983492E-2</c:v>
                </c:pt>
                <c:pt idx="42">
                  <c:v>8.9602000000013504E-2</c:v>
                </c:pt>
                <c:pt idx="45">
                  <c:v>8.3647999992535915E-2</c:v>
                </c:pt>
                <c:pt idx="47">
                  <c:v>4.7127999998338055E-2</c:v>
                </c:pt>
                <c:pt idx="48">
                  <c:v>6.6420000002835877E-2</c:v>
                </c:pt>
                <c:pt idx="49">
                  <c:v>7.6650000002700835E-2</c:v>
                </c:pt>
                <c:pt idx="53">
                  <c:v>4.4979999998759013E-2</c:v>
                </c:pt>
                <c:pt idx="60">
                  <c:v>5.3463999996893108E-2</c:v>
                </c:pt>
                <c:pt idx="63">
                  <c:v>5.3324000000429805E-2</c:v>
                </c:pt>
                <c:pt idx="65">
                  <c:v>4.7846000001300126E-2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8-45B4-93D2-D522D542C3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Active!$J$21:$J$887</c:f>
              <c:numCache>
                <c:formatCode>General</c:formatCode>
                <c:ptCount val="867"/>
                <c:pt idx="61">
                  <c:v>1.2473999995563645E-2</c:v>
                </c:pt>
                <c:pt idx="62">
                  <c:v>9.9479999989853241E-3</c:v>
                </c:pt>
                <c:pt idx="64">
                  <c:v>2.4899999989429489E-3</c:v>
                </c:pt>
                <c:pt idx="66">
                  <c:v>-4.514000000199303E-3</c:v>
                </c:pt>
                <c:pt idx="67">
                  <c:v>-3.2767999997304287E-2</c:v>
                </c:pt>
                <c:pt idx="68">
                  <c:v>-6.7308000005141366E-2</c:v>
                </c:pt>
                <c:pt idx="69">
                  <c:v>-0.14332399999693735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8-45B4-93D2-D522D542C3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Active!$K$21:$K$887</c:f>
              <c:numCache>
                <c:formatCode>General</c:formatCode>
                <c:ptCount val="867"/>
                <c:pt idx="70">
                  <c:v>-0.14803199999732897</c:v>
                </c:pt>
                <c:pt idx="71">
                  <c:v>-0.16419200000382261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8-45B4-93D2-D522D542C3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Active!$L$21:$L$887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B8-45B4-93D2-D522D542C3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Active!$M$21:$M$887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B8-45B4-93D2-D522D542C3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Active!$N$21:$N$887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B8-45B4-93D2-D522D542C3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Active!$O$21:$O$887</c:f>
              <c:numCache>
                <c:formatCode>General</c:formatCode>
                <c:ptCount val="867"/>
                <c:pt idx="48">
                  <c:v>7.3097336612649944E-2</c:v>
                </c:pt>
                <c:pt idx="49">
                  <c:v>6.5690402899169331E-2</c:v>
                </c:pt>
                <c:pt idx="50">
                  <c:v>5.7035985612892026E-2</c:v>
                </c:pt>
                <c:pt idx="51">
                  <c:v>5.6958017889592261E-2</c:v>
                </c:pt>
                <c:pt idx="52">
                  <c:v>4.6588310690719448E-2</c:v>
                </c:pt>
                <c:pt idx="53">
                  <c:v>4.6588310690719448E-2</c:v>
                </c:pt>
                <c:pt idx="54">
                  <c:v>4.6042536627620867E-2</c:v>
                </c:pt>
                <c:pt idx="55">
                  <c:v>4.5964568904321101E-2</c:v>
                </c:pt>
                <c:pt idx="56">
                  <c:v>4.5418794841222521E-2</c:v>
                </c:pt>
                <c:pt idx="57">
                  <c:v>4.5418794841222521E-2</c:v>
                </c:pt>
                <c:pt idx="58">
                  <c:v>2.8187927991967732E-2</c:v>
                </c:pt>
                <c:pt idx="59">
                  <c:v>1.7272446729996338E-2</c:v>
                </c:pt>
                <c:pt idx="60">
                  <c:v>1.3374060565006562E-2</c:v>
                </c:pt>
                <c:pt idx="61">
                  <c:v>5.093862205403088E-4</c:v>
                </c:pt>
                <c:pt idx="62">
                  <c:v>-8.1450310657369962E-3</c:v>
                </c:pt>
                <c:pt idx="63">
                  <c:v>-9.2365791919341578E-3</c:v>
                </c:pt>
                <c:pt idx="64">
                  <c:v>-1.3056997633624112E-2</c:v>
                </c:pt>
                <c:pt idx="65">
                  <c:v>-1.9606286390806915E-2</c:v>
                </c:pt>
                <c:pt idx="66">
                  <c:v>-3.208112211877423E-2</c:v>
                </c:pt>
                <c:pt idx="67">
                  <c:v>-4.1359281191449881E-2</c:v>
                </c:pt>
                <c:pt idx="68">
                  <c:v>-6.3969920948390602E-2</c:v>
                </c:pt>
                <c:pt idx="69">
                  <c:v>-0.13226964655901147</c:v>
                </c:pt>
                <c:pt idx="70">
                  <c:v>-0.14030032205889037</c:v>
                </c:pt>
                <c:pt idx="71">
                  <c:v>-0.1777248292427922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8-45B4-93D2-D522D542C3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Active!$U$21:$U$887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B8-45B4-93D2-D522D542C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02632"/>
        <c:axId val="1"/>
      </c:scatterChart>
      <c:valAx>
        <c:axId val="64090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764607679465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90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58931552587646"/>
          <c:y val="0.91975600272188196"/>
          <c:w val="0.8030050083472453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PX Cep - O-C Diagr.</a:t>
            </a:r>
          </a:p>
        </c:rich>
      </c:tx>
      <c:layout>
        <c:manualLayout>
          <c:xMode val="edge"/>
          <c:yMode val="edge"/>
          <c:x val="0.3722871452420701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14859468012961"/>
          <c:w val="0.80467445742904842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Active!$H$21:$H$887</c:f>
              <c:numCache>
                <c:formatCode>General</c:formatCode>
                <c:ptCount val="867"/>
                <c:pt idx="1">
                  <c:v>0</c:v>
                </c:pt>
                <c:pt idx="6">
                  <c:v>5.878600015421398E-2</c:v>
                </c:pt>
                <c:pt idx="7">
                  <c:v>-1.0941999855276663E-2</c:v>
                </c:pt>
                <c:pt idx="8">
                  <c:v>3.6082000086025801E-2</c:v>
                </c:pt>
                <c:pt idx="9">
                  <c:v>8.2323999937216286E-2</c:v>
                </c:pt>
                <c:pt idx="10">
                  <c:v>9.9596000225574244E-2</c:v>
                </c:pt>
                <c:pt idx="11">
                  <c:v>0.11583400001836708</c:v>
                </c:pt>
                <c:pt idx="12">
                  <c:v>3.4105999911844265E-2</c:v>
                </c:pt>
                <c:pt idx="13">
                  <c:v>0.11106400004791794</c:v>
                </c:pt>
                <c:pt idx="14">
                  <c:v>7.3899998169508763E-3</c:v>
                </c:pt>
                <c:pt idx="15">
                  <c:v>3.7390000077721197E-2</c:v>
                </c:pt>
                <c:pt idx="16">
                  <c:v>0.14686600018467288</c:v>
                </c:pt>
                <c:pt idx="17">
                  <c:v>7.6892000164662022E-2</c:v>
                </c:pt>
                <c:pt idx="18">
                  <c:v>7.8129999827069696E-2</c:v>
                </c:pt>
                <c:pt idx="19">
                  <c:v>0.14636000018072082</c:v>
                </c:pt>
                <c:pt idx="20">
                  <c:v>0.16404600013629533</c:v>
                </c:pt>
                <c:pt idx="21">
                  <c:v>4.5862000137276482E-2</c:v>
                </c:pt>
                <c:pt idx="22">
                  <c:v>5.8145999915723223E-2</c:v>
                </c:pt>
                <c:pt idx="23">
                  <c:v>9.1384000166726764E-2</c:v>
                </c:pt>
                <c:pt idx="24">
                  <c:v>0.16739599989523413</c:v>
                </c:pt>
                <c:pt idx="25">
                  <c:v>0.17290600004344014</c:v>
                </c:pt>
                <c:pt idx="26">
                  <c:v>0.20290599983854918</c:v>
                </c:pt>
                <c:pt idx="27">
                  <c:v>6.0940000170376152E-2</c:v>
                </c:pt>
                <c:pt idx="28">
                  <c:v>0.11692199981189333</c:v>
                </c:pt>
                <c:pt idx="29">
                  <c:v>5.7465999881969765E-2</c:v>
                </c:pt>
                <c:pt idx="30">
                  <c:v>6.4988000201992691E-2</c:v>
                </c:pt>
                <c:pt idx="31">
                  <c:v>7.7719999972032383E-2</c:v>
                </c:pt>
                <c:pt idx="32">
                  <c:v>4.7992000007070601E-2</c:v>
                </c:pt>
                <c:pt idx="33">
                  <c:v>8.8744000066071749E-2</c:v>
                </c:pt>
                <c:pt idx="34">
                  <c:v>0.1047879999387078</c:v>
                </c:pt>
                <c:pt idx="35">
                  <c:v>0.15480000006209593</c:v>
                </c:pt>
                <c:pt idx="36">
                  <c:v>0.15279200015356764</c:v>
                </c:pt>
                <c:pt idx="37">
                  <c:v>6.8628000030003022E-2</c:v>
                </c:pt>
                <c:pt idx="38">
                  <c:v>0.11229400016600266</c:v>
                </c:pt>
                <c:pt idx="39">
                  <c:v>3.4565999776532408E-2</c:v>
                </c:pt>
                <c:pt idx="40">
                  <c:v>4.6142000042891596E-2</c:v>
                </c:pt>
                <c:pt idx="41">
                  <c:v>5.2372000012837816E-2</c:v>
                </c:pt>
                <c:pt idx="43">
                  <c:v>0.14660199997160817</c:v>
                </c:pt>
                <c:pt idx="44">
                  <c:v>2.3145999795815442E-2</c:v>
                </c:pt>
                <c:pt idx="46">
                  <c:v>-3.569999840692617E-3</c:v>
                </c:pt>
                <c:pt idx="50">
                  <c:v>0.12642400013282895</c:v>
                </c:pt>
                <c:pt idx="51">
                  <c:v>6.4579998870613053E-3</c:v>
                </c:pt>
                <c:pt idx="52">
                  <c:v>1.7979999931412749E-2</c:v>
                </c:pt>
                <c:pt idx="54">
                  <c:v>9.2217999917920679E-2</c:v>
                </c:pt>
                <c:pt idx="55">
                  <c:v>-1.074799986963626E-2</c:v>
                </c:pt>
                <c:pt idx="56">
                  <c:v>1.0489999811397865E-2</c:v>
                </c:pt>
                <c:pt idx="57">
                  <c:v>7.048999986727722E-2</c:v>
                </c:pt>
                <c:pt idx="58">
                  <c:v>3.0004000189364888E-2</c:v>
                </c:pt>
                <c:pt idx="59">
                  <c:v>0.1277639998588711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A3-4F5D-9C3D-8DF026DDCF7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Active!$D$21:$D$887</c:f>
                <c:numCache>
                  <c:formatCode>General</c:formatCode>
                  <c:ptCount val="8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  <c:pt idx="63">
                    <c:v>8.0000000000000002E-3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Active!$D$21:$D$887</c:f>
                <c:numCache>
                  <c:formatCode>General</c:formatCode>
                  <c:ptCount val="8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  <c:pt idx="63">
                    <c:v>8.0000000000000002E-3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1.4E-3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Active!$I$21:$I$887</c:f>
              <c:numCache>
                <c:formatCode>General</c:formatCode>
                <c:ptCount val="867"/>
                <c:pt idx="0">
                  <c:v>-7.1237999996810686E-2</c:v>
                </c:pt>
                <c:pt idx="2">
                  <c:v>0.11101999999664258</c:v>
                </c:pt>
                <c:pt idx="3">
                  <c:v>-3.1674000005295966E-2</c:v>
                </c:pt>
                <c:pt idx="4">
                  <c:v>5.3957999996782746E-2</c:v>
                </c:pt>
                <c:pt idx="5">
                  <c:v>-5.7716000002983492E-2</c:v>
                </c:pt>
                <c:pt idx="42">
                  <c:v>8.9602000000013504E-2</c:v>
                </c:pt>
                <c:pt idx="45">
                  <c:v>8.3647999992535915E-2</c:v>
                </c:pt>
                <c:pt idx="47">
                  <c:v>4.7127999998338055E-2</c:v>
                </c:pt>
                <c:pt idx="48">
                  <c:v>6.6420000002835877E-2</c:v>
                </c:pt>
                <c:pt idx="49">
                  <c:v>7.6650000002700835E-2</c:v>
                </c:pt>
                <c:pt idx="53">
                  <c:v>4.4979999998759013E-2</c:v>
                </c:pt>
                <c:pt idx="60">
                  <c:v>5.3463999996893108E-2</c:v>
                </c:pt>
                <c:pt idx="63">
                  <c:v>5.3324000000429805E-2</c:v>
                </c:pt>
                <c:pt idx="65">
                  <c:v>4.7846000001300126E-2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A3-4F5D-9C3D-8DF026DDCF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Active!$J$21:$J$887</c:f>
              <c:numCache>
                <c:formatCode>General</c:formatCode>
                <c:ptCount val="867"/>
                <c:pt idx="61">
                  <c:v>1.2473999995563645E-2</c:v>
                </c:pt>
                <c:pt idx="62">
                  <c:v>9.9479999989853241E-3</c:v>
                </c:pt>
                <c:pt idx="64">
                  <c:v>2.4899999989429489E-3</c:v>
                </c:pt>
                <c:pt idx="66">
                  <c:v>-4.514000000199303E-3</c:v>
                </c:pt>
                <c:pt idx="67">
                  <c:v>-3.2767999997304287E-2</c:v>
                </c:pt>
                <c:pt idx="68">
                  <c:v>-6.7308000005141366E-2</c:v>
                </c:pt>
                <c:pt idx="69">
                  <c:v>-0.14332399999693735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A3-4F5D-9C3D-8DF026DDCF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Active!$K$21:$K$887</c:f>
              <c:numCache>
                <c:formatCode>General</c:formatCode>
                <c:ptCount val="867"/>
                <c:pt idx="70">
                  <c:v>-0.14803199999732897</c:v>
                </c:pt>
                <c:pt idx="71">
                  <c:v>-0.16419200000382261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A3-4F5D-9C3D-8DF026DDCF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Active!$L$21:$L$887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A3-4F5D-9C3D-8DF026DDCF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Active!$M$21:$M$887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A3-4F5D-9C3D-8DF026DDCF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5.0000000000000001E-4</c:v>
                  </c:pt>
                  <c:pt idx="6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Active!$N$21:$N$887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A3-4F5D-9C3D-8DF026DDCF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Active!$O$21:$O$887</c:f>
              <c:numCache>
                <c:formatCode>General</c:formatCode>
                <c:ptCount val="867"/>
                <c:pt idx="48">
                  <c:v>7.3097336612649944E-2</c:v>
                </c:pt>
                <c:pt idx="49">
                  <c:v>6.5690402899169331E-2</c:v>
                </c:pt>
                <c:pt idx="50">
                  <c:v>5.7035985612892026E-2</c:v>
                </c:pt>
                <c:pt idx="51">
                  <c:v>5.6958017889592261E-2</c:v>
                </c:pt>
                <c:pt idx="52">
                  <c:v>4.6588310690719448E-2</c:v>
                </c:pt>
                <c:pt idx="53">
                  <c:v>4.6588310690719448E-2</c:v>
                </c:pt>
                <c:pt idx="54">
                  <c:v>4.6042536627620867E-2</c:v>
                </c:pt>
                <c:pt idx="55">
                  <c:v>4.5964568904321101E-2</c:v>
                </c:pt>
                <c:pt idx="56">
                  <c:v>4.5418794841222521E-2</c:v>
                </c:pt>
                <c:pt idx="57">
                  <c:v>4.5418794841222521E-2</c:v>
                </c:pt>
                <c:pt idx="58">
                  <c:v>2.8187927991967732E-2</c:v>
                </c:pt>
                <c:pt idx="59">
                  <c:v>1.7272446729996338E-2</c:v>
                </c:pt>
                <c:pt idx="60">
                  <c:v>1.3374060565006562E-2</c:v>
                </c:pt>
                <c:pt idx="61">
                  <c:v>5.093862205403088E-4</c:v>
                </c:pt>
                <c:pt idx="62">
                  <c:v>-8.1450310657369962E-3</c:v>
                </c:pt>
                <c:pt idx="63">
                  <c:v>-9.2365791919341578E-3</c:v>
                </c:pt>
                <c:pt idx="64">
                  <c:v>-1.3056997633624112E-2</c:v>
                </c:pt>
                <c:pt idx="65">
                  <c:v>-1.9606286390806915E-2</c:v>
                </c:pt>
                <c:pt idx="66">
                  <c:v>-3.208112211877423E-2</c:v>
                </c:pt>
                <c:pt idx="67">
                  <c:v>-4.1359281191449881E-2</c:v>
                </c:pt>
                <c:pt idx="68">
                  <c:v>-6.3969920948390602E-2</c:v>
                </c:pt>
                <c:pt idx="69">
                  <c:v>-0.13226964655901147</c:v>
                </c:pt>
                <c:pt idx="70">
                  <c:v>-0.14030032205889037</c:v>
                </c:pt>
                <c:pt idx="71">
                  <c:v>-0.1777248292427922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A3-4F5D-9C3D-8DF026DDCF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Active!$F$21:$F$887</c:f>
              <c:numCache>
                <c:formatCode>General</c:formatCode>
                <c:ptCount val="867"/>
                <c:pt idx="0">
                  <c:v>-7</c:v>
                </c:pt>
                <c:pt idx="1">
                  <c:v>0</c:v>
                </c:pt>
                <c:pt idx="2">
                  <c:v>30</c:v>
                </c:pt>
                <c:pt idx="3">
                  <c:v>39</c:v>
                </c:pt>
                <c:pt idx="4">
                  <c:v>87</c:v>
                </c:pt>
                <c:pt idx="5">
                  <c:v>126</c:v>
                </c:pt>
                <c:pt idx="6">
                  <c:v>229</c:v>
                </c:pt>
                <c:pt idx="7">
                  <c:v>237</c:v>
                </c:pt>
                <c:pt idx="8">
                  <c:v>473</c:v>
                </c:pt>
                <c:pt idx="9">
                  <c:v>686</c:v>
                </c:pt>
                <c:pt idx="10">
                  <c:v>694</c:v>
                </c:pt>
                <c:pt idx="11">
                  <c:v>701</c:v>
                </c:pt>
                <c:pt idx="12">
                  <c:v>709</c:v>
                </c:pt>
                <c:pt idx="13">
                  <c:v>796</c:v>
                </c:pt>
                <c:pt idx="14">
                  <c:v>835</c:v>
                </c:pt>
                <c:pt idx="15">
                  <c:v>835</c:v>
                </c:pt>
                <c:pt idx="16">
                  <c:v>849</c:v>
                </c:pt>
                <c:pt idx="17">
                  <c:v>938</c:v>
                </c:pt>
                <c:pt idx="18">
                  <c:v>945</c:v>
                </c:pt>
                <c:pt idx="19">
                  <c:v>1040</c:v>
                </c:pt>
                <c:pt idx="20">
                  <c:v>1119</c:v>
                </c:pt>
                <c:pt idx="21">
                  <c:v>1143</c:v>
                </c:pt>
                <c:pt idx="22">
                  <c:v>1269</c:v>
                </c:pt>
                <c:pt idx="23">
                  <c:v>1276</c:v>
                </c:pt>
                <c:pt idx="24">
                  <c:v>1394</c:v>
                </c:pt>
                <c:pt idx="25">
                  <c:v>1409</c:v>
                </c:pt>
                <c:pt idx="26">
                  <c:v>1409</c:v>
                </c:pt>
                <c:pt idx="27">
                  <c:v>1410</c:v>
                </c:pt>
                <c:pt idx="28">
                  <c:v>1733</c:v>
                </c:pt>
                <c:pt idx="29">
                  <c:v>1749</c:v>
                </c:pt>
                <c:pt idx="30">
                  <c:v>1882</c:v>
                </c:pt>
                <c:pt idx="31">
                  <c:v>2080</c:v>
                </c:pt>
                <c:pt idx="32">
                  <c:v>2088</c:v>
                </c:pt>
                <c:pt idx="33">
                  <c:v>2316</c:v>
                </c:pt>
                <c:pt idx="34">
                  <c:v>2582</c:v>
                </c:pt>
                <c:pt idx="35">
                  <c:v>2700</c:v>
                </c:pt>
                <c:pt idx="36">
                  <c:v>2788</c:v>
                </c:pt>
                <c:pt idx="37">
                  <c:v>2842</c:v>
                </c:pt>
                <c:pt idx="38">
                  <c:v>2891</c:v>
                </c:pt>
                <c:pt idx="39">
                  <c:v>2899</c:v>
                </c:pt>
                <c:pt idx="40">
                  <c:v>3063</c:v>
                </c:pt>
                <c:pt idx="41">
                  <c:v>3158</c:v>
                </c:pt>
                <c:pt idx="42">
                  <c:v>3253</c:v>
                </c:pt>
                <c:pt idx="43">
                  <c:v>3253</c:v>
                </c:pt>
                <c:pt idx="44">
                  <c:v>3269</c:v>
                </c:pt>
                <c:pt idx="45">
                  <c:v>3372</c:v>
                </c:pt>
                <c:pt idx="46">
                  <c:v>3395</c:v>
                </c:pt>
                <c:pt idx="47">
                  <c:v>3592</c:v>
                </c:pt>
                <c:pt idx="48">
                  <c:v>3630</c:v>
                </c:pt>
                <c:pt idx="49">
                  <c:v>3725</c:v>
                </c:pt>
                <c:pt idx="50">
                  <c:v>3836</c:v>
                </c:pt>
                <c:pt idx="51">
                  <c:v>3837</c:v>
                </c:pt>
                <c:pt idx="52">
                  <c:v>3970</c:v>
                </c:pt>
                <c:pt idx="53">
                  <c:v>3970</c:v>
                </c:pt>
                <c:pt idx="54">
                  <c:v>3977</c:v>
                </c:pt>
                <c:pt idx="55">
                  <c:v>3978</c:v>
                </c:pt>
                <c:pt idx="56">
                  <c:v>3985</c:v>
                </c:pt>
                <c:pt idx="57">
                  <c:v>3985</c:v>
                </c:pt>
                <c:pt idx="58">
                  <c:v>4206</c:v>
                </c:pt>
                <c:pt idx="59">
                  <c:v>4346</c:v>
                </c:pt>
                <c:pt idx="60">
                  <c:v>4396</c:v>
                </c:pt>
                <c:pt idx="61">
                  <c:v>4561</c:v>
                </c:pt>
                <c:pt idx="62">
                  <c:v>4672</c:v>
                </c:pt>
                <c:pt idx="63">
                  <c:v>4686</c:v>
                </c:pt>
                <c:pt idx="64">
                  <c:v>4735</c:v>
                </c:pt>
                <c:pt idx="65">
                  <c:v>4819</c:v>
                </c:pt>
                <c:pt idx="66">
                  <c:v>4979</c:v>
                </c:pt>
                <c:pt idx="67">
                  <c:v>5098</c:v>
                </c:pt>
                <c:pt idx="68">
                  <c:v>5388</c:v>
                </c:pt>
                <c:pt idx="69">
                  <c:v>6264</c:v>
                </c:pt>
                <c:pt idx="70">
                  <c:v>6367</c:v>
                </c:pt>
                <c:pt idx="71">
                  <c:v>6847</c:v>
                </c:pt>
              </c:numCache>
            </c:numRef>
          </c:xVal>
          <c:yVal>
            <c:numRef>
              <c:f>Active!$U$21:$U$887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A3-4F5D-9C3D-8DF026DD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02632"/>
        <c:axId val="1"/>
      </c:scatterChart>
      <c:valAx>
        <c:axId val="640902632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764607679465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90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58931552587646"/>
          <c:y val="0.91975600272188196"/>
          <c:w val="0.8030050083472453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304800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6EC0EE-E003-C79B-3B77-8C766F3BA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504826</xdr:colOff>
      <xdr:row>0</xdr:row>
      <xdr:rowOff>0</xdr:rowOff>
    </xdr:from>
    <xdr:to>
      <xdr:col>27</xdr:col>
      <xdr:colOff>228601</xdr:colOff>
      <xdr:row>17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8518C6-3F3E-4C10-872B-E5AF05527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73" TargetMode="External"/><Relationship Id="rId18" Type="http://schemas.openxmlformats.org/officeDocument/2006/relationships/hyperlink" Target="http://www.konkoly.hu/cgi-bin/IBVS?4373" TargetMode="External"/><Relationship Id="rId26" Type="http://schemas.openxmlformats.org/officeDocument/2006/relationships/hyperlink" Target="http://www.konkoly.hu/cgi-bin/IBVS?4373" TargetMode="External"/><Relationship Id="rId39" Type="http://schemas.openxmlformats.org/officeDocument/2006/relationships/hyperlink" Target="http://www.konkoly.hu/cgi-bin/IBVS?4373" TargetMode="External"/><Relationship Id="rId21" Type="http://schemas.openxmlformats.org/officeDocument/2006/relationships/hyperlink" Target="http://www.konkoly.hu/cgi-bin/IBVS?4373" TargetMode="External"/><Relationship Id="rId34" Type="http://schemas.openxmlformats.org/officeDocument/2006/relationships/hyperlink" Target="http://www.konkoly.hu/cgi-bin/IBVS?4373" TargetMode="External"/><Relationship Id="rId42" Type="http://schemas.openxmlformats.org/officeDocument/2006/relationships/hyperlink" Target="http://www.konkoly.hu/cgi-bin/IBVS?4373" TargetMode="External"/><Relationship Id="rId47" Type="http://schemas.openxmlformats.org/officeDocument/2006/relationships/hyperlink" Target="http://www.konkoly.hu/cgi-bin/IBVS?4373" TargetMode="External"/><Relationship Id="rId50" Type="http://schemas.openxmlformats.org/officeDocument/2006/relationships/hyperlink" Target="http://www.bav-astro.de/sfs/BAVM_link.php?BAVMnr=132" TargetMode="External"/><Relationship Id="rId55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konkoly.hu/cgi-bin/IBVS?4373" TargetMode="External"/><Relationship Id="rId12" Type="http://schemas.openxmlformats.org/officeDocument/2006/relationships/hyperlink" Target="http://www.konkoly.hu/cgi-bin/IBVS?4373" TargetMode="External"/><Relationship Id="rId17" Type="http://schemas.openxmlformats.org/officeDocument/2006/relationships/hyperlink" Target="http://www.konkoly.hu/cgi-bin/IBVS?4373" TargetMode="External"/><Relationship Id="rId25" Type="http://schemas.openxmlformats.org/officeDocument/2006/relationships/hyperlink" Target="http://www.konkoly.hu/cgi-bin/IBVS?4373" TargetMode="External"/><Relationship Id="rId33" Type="http://schemas.openxmlformats.org/officeDocument/2006/relationships/hyperlink" Target="http://www.konkoly.hu/cgi-bin/IBVS?4373" TargetMode="External"/><Relationship Id="rId38" Type="http://schemas.openxmlformats.org/officeDocument/2006/relationships/hyperlink" Target="http://www.konkoly.hu/cgi-bin/IBVS?4373" TargetMode="External"/><Relationship Id="rId46" Type="http://schemas.openxmlformats.org/officeDocument/2006/relationships/hyperlink" Target="http://www.konkoly.hu/cgi-bin/IBVS?4373" TargetMode="External"/><Relationship Id="rId2" Type="http://schemas.openxmlformats.org/officeDocument/2006/relationships/hyperlink" Target="http://www.konkoly.hu/cgi-bin/IBVS?4373" TargetMode="External"/><Relationship Id="rId16" Type="http://schemas.openxmlformats.org/officeDocument/2006/relationships/hyperlink" Target="http://www.konkoly.hu/cgi-bin/IBVS?4373" TargetMode="External"/><Relationship Id="rId20" Type="http://schemas.openxmlformats.org/officeDocument/2006/relationships/hyperlink" Target="http://www.konkoly.hu/cgi-bin/IBVS?4373" TargetMode="External"/><Relationship Id="rId29" Type="http://schemas.openxmlformats.org/officeDocument/2006/relationships/hyperlink" Target="http://www.konkoly.hu/cgi-bin/IBVS?4373" TargetMode="External"/><Relationship Id="rId41" Type="http://schemas.openxmlformats.org/officeDocument/2006/relationships/hyperlink" Target="http://www.konkoly.hu/cgi-bin/IBVS?4373" TargetMode="External"/><Relationship Id="rId54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konkoly.hu/cgi-bin/IBVS?4373" TargetMode="External"/><Relationship Id="rId6" Type="http://schemas.openxmlformats.org/officeDocument/2006/relationships/hyperlink" Target="http://www.konkoly.hu/cgi-bin/IBVS?4373" TargetMode="External"/><Relationship Id="rId11" Type="http://schemas.openxmlformats.org/officeDocument/2006/relationships/hyperlink" Target="http://www.konkoly.hu/cgi-bin/IBVS?4373" TargetMode="External"/><Relationship Id="rId24" Type="http://schemas.openxmlformats.org/officeDocument/2006/relationships/hyperlink" Target="http://www.konkoly.hu/cgi-bin/IBVS?4373" TargetMode="External"/><Relationship Id="rId32" Type="http://schemas.openxmlformats.org/officeDocument/2006/relationships/hyperlink" Target="http://www.konkoly.hu/cgi-bin/IBVS?4373" TargetMode="External"/><Relationship Id="rId37" Type="http://schemas.openxmlformats.org/officeDocument/2006/relationships/hyperlink" Target="http://www.konkoly.hu/cgi-bin/IBVS?3048" TargetMode="External"/><Relationship Id="rId40" Type="http://schemas.openxmlformats.org/officeDocument/2006/relationships/hyperlink" Target="http://www.konkoly.hu/cgi-bin/IBVS?4373" TargetMode="External"/><Relationship Id="rId45" Type="http://schemas.openxmlformats.org/officeDocument/2006/relationships/hyperlink" Target="http://www.konkoly.hu/cgi-bin/IBVS?4373" TargetMode="External"/><Relationship Id="rId53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www.konkoly.hu/cgi-bin/IBVS?4373" TargetMode="External"/><Relationship Id="rId15" Type="http://schemas.openxmlformats.org/officeDocument/2006/relationships/hyperlink" Target="http://www.konkoly.hu/cgi-bin/IBVS?4373" TargetMode="External"/><Relationship Id="rId23" Type="http://schemas.openxmlformats.org/officeDocument/2006/relationships/hyperlink" Target="http://www.konkoly.hu/cgi-bin/IBVS?4373" TargetMode="External"/><Relationship Id="rId28" Type="http://schemas.openxmlformats.org/officeDocument/2006/relationships/hyperlink" Target="http://www.konkoly.hu/cgi-bin/IBVS?4373" TargetMode="External"/><Relationship Id="rId36" Type="http://schemas.openxmlformats.org/officeDocument/2006/relationships/hyperlink" Target="http://www.konkoly.hu/cgi-bin/IBVS?4373" TargetMode="External"/><Relationship Id="rId49" Type="http://schemas.openxmlformats.org/officeDocument/2006/relationships/hyperlink" Target="http://www.konkoly.hu/cgi-bin/IBVS?4373" TargetMode="External"/><Relationship Id="rId57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373" TargetMode="External"/><Relationship Id="rId19" Type="http://schemas.openxmlformats.org/officeDocument/2006/relationships/hyperlink" Target="http://www.konkoly.hu/cgi-bin/IBVS?4373" TargetMode="External"/><Relationship Id="rId31" Type="http://schemas.openxmlformats.org/officeDocument/2006/relationships/hyperlink" Target="http://www.konkoly.hu/cgi-bin/IBVS?4373" TargetMode="External"/><Relationship Id="rId44" Type="http://schemas.openxmlformats.org/officeDocument/2006/relationships/hyperlink" Target="http://www.konkoly.hu/cgi-bin/IBVS?4373" TargetMode="External"/><Relationship Id="rId52" Type="http://schemas.openxmlformats.org/officeDocument/2006/relationships/hyperlink" Target="http://www.bav-astro.de/sfs/BAVM_link.php?BAVMnr=132" TargetMode="External"/><Relationship Id="rId4" Type="http://schemas.openxmlformats.org/officeDocument/2006/relationships/hyperlink" Target="http://www.konkoly.hu/cgi-bin/IBVS?4373" TargetMode="External"/><Relationship Id="rId9" Type="http://schemas.openxmlformats.org/officeDocument/2006/relationships/hyperlink" Target="http://www.konkoly.hu/cgi-bin/IBVS?4373" TargetMode="External"/><Relationship Id="rId14" Type="http://schemas.openxmlformats.org/officeDocument/2006/relationships/hyperlink" Target="http://www.konkoly.hu/cgi-bin/IBVS?4373" TargetMode="External"/><Relationship Id="rId22" Type="http://schemas.openxmlformats.org/officeDocument/2006/relationships/hyperlink" Target="http://www.konkoly.hu/cgi-bin/IBVS?4373" TargetMode="External"/><Relationship Id="rId27" Type="http://schemas.openxmlformats.org/officeDocument/2006/relationships/hyperlink" Target="http://www.konkoly.hu/cgi-bin/IBVS?4373" TargetMode="External"/><Relationship Id="rId30" Type="http://schemas.openxmlformats.org/officeDocument/2006/relationships/hyperlink" Target="http://www.konkoly.hu/cgi-bin/IBVS?4373" TargetMode="External"/><Relationship Id="rId35" Type="http://schemas.openxmlformats.org/officeDocument/2006/relationships/hyperlink" Target="http://www.konkoly.hu/cgi-bin/IBVS?4373" TargetMode="External"/><Relationship Id="rId43" Type="http://schemas.openxmlformats.org/officeDocument/2006/relationships/hyperlink" Target="http://www.konkoly.hu/cgi-bin/IBVS?4373" TargetMode="External"/><Relationship Id="rId48" Type="http://schemas.openxmlformats.org/officeDocument/2006/relationships/hyperlink" Target="http://www.konkoly.hu/cgi-bin/IBVS?4373" TargetMode="External"/><Relationship Id="rId56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4373" TargetMode="External"/><Relationship Id="rId51" Type="http://schemas.openxmlformats.org/officeDocument/2006/relationships/hyperlink" Target="http://www.bav-astro.de/sfs/BAVM_link.php?BAVMnr=132" TargetMode="External"/><Relationship Id="rId3" Type="http://schemas.openxmlformats.org/officeDocument/2006/relationships/hyperlink" Target="http://www.konkoly.hu/cgi-bin/IBVS?4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1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42</v>
      </c>
      <c r="C1" s="8"/>
    </row>
    <row r="2" spans="1:6">
      <c r="A2" t="s">
        <v>24</v>
      </c>
      <c r="B2" s="15" t="s">
        <v>40</v>
      </c>
    </row>
    <row r="3" spans="1:6" ht="13.5" thickBot="1"/>
    <row r="4" spans="1:6" ht="13.5" thickBot="1">
      <c r="A4" s="5" t="s">
        <v>0</v>
      </c>
      <c r="C4" s="9">
        <v>36098.33</v>
      </c>
      <c r="D4" s="10">
        <v>3.1269659999999999</v>
      </c>
    </row>
    <row r="5" spans="1:6">
      <c r="A5" s="16" t="s">
        <v>43</v>
      </c>
      <c r="B5" s="17"/>
      <c r="C5" s="18">
        <v>-9.5</v>
      </c>
      <c r="D5" s="17" t="s">
        <v>44</v>
      </c>
    </row>
    <row r="6" spans="1:6">
      <c r="A6" s="5" t="s">
        <v>1</v>
      </c>
    </row>
    <row r="7" spans="1:6">
      <c r="A7" t="s">
        <v>2</v>
      </c>
      <c r="C7">
        <f>+C4</f>
        <v>36098.33</v>
      </c>
    </row>
    <row r="8" spans="1:6">
      <c r="A8" t="s">
        <v>3</v>
      </c>
      <c r="C8">
        <f>+D4</f>
        <v>3.1269659999999999</v>
      </c>
    </row>
    <row r="9" spans="1:6">
      <c r="A9" s="30" t="s">
        <v>48</v>
      </c>
      <c r="B9" s="31">
        <v>88</v>
      </c>
      <c r="C9" s="20" t="str">
        <f>"F"&amp;B9</f>
        <v>F88</v>
      </c>
      <c r="D9" s="13" t="str">
        <f>"G"&amp;B9</f>
        <v>G88</v>
      </c>
    </row>
    <row r="10" spans="1:6" ht="13.5" thickBot="1">
      <c r="A10" s="17"/>
      <c r="B10" s="17"/>
      <c r="C10" s="4" t="s">
        <v>20</v>
      </c>
      <c r="D10" s="4" t="s">
        <v>21</v>
      </c>
      <c r="E10" s="17"/>
    </row>
    <row r="11" spans="1:6">
      <c r="A11" s="17" t="s">
        <v>16</v>
      </c>
      <c r="B11" s="17"/>
      <c r="C11" s="19">
        <f ca="1">INTERCEPT(INDIRECT($D$9):G891,INDIRECT($C$9):F891)</f>
        <v>0.35612017219090764</v>
      </c>
      <c r="D11" s="3"/>
      <c r="E11" s="17"/>
    </row>
    <row r="12" spans="1:6">
      <c r="A12" s="17" t="s">
        <v>17</v>
      </c>
      <c r="B12" s="17"/>
      <c r="C12" s="19">
        <f ca="1">SLOPE(INDIRECT($D$9):G891,INDIRECT($C$9):F891)</f>
        <v>-7.7967723299795513E-5</v>
      </c>
      <c r="D12" s="3"/>
      <c r="E12" s="17"/>
    </row>
    <row r="13" spans="1:6">
      <c r="A13" s="17" t="s">
        <v>19</v>
      </c>
      <c r="B13" s="17"/>
      <c r="C13" s="3" t="s">
        <v>14</v>
      </c>
    </row>
    <row r="14" spans="1:6">
      <c r="A14" s="17"/>
      <c r="B14" s="17"/>
      <c r="C14" s="17"/>
    </row>
    <row r="15" spans="1:6">
      <c r="A15" s="21" t="s">
        <v>18</v>
      </c>
      <c r="B15" s="17"/>
      <c r="C15" s="22">
        <f ca="1">(C7+C11)+(C8+C12)*INT(MAX(F21:F3432))</f>
        <v>57508.488477170758</v>
      </c>
      <c r="E15" s="23" t="s">
        <v>49</v>
      </c>
      <c r="F15" s="18">
        <v>1</v>
      </c>
    </row>
    <row r="16" spans="1:6">
      <c r="A16" s="25" t="s">
        <v>4</v>
      </c>
      <c r="B16" s="17"/>
      <c r="C16" s="26">
        <f ca="1">+C8+C12</f>
        <v>3.1268880322767001</v>
      </c>
      <c r="E16" s="23" t="s">
        <v>45</v>
      </c>
      <c r="F16" s="24">
        <f ca="1">NOW()+15018.5+$C$5/24</f>
        <v>60332.699764351848</v>
      </c>
    </row>
    <row r="17" spans="1:21" ht="13.5" thickBot="1">
      <c r="A17" s="23" t="s">
        <v>41</v>
      </c>
      <c r="B17" s="17"/>
      <c r="C17" s="17">
        <f>COUNT(C21:C2090)</f>
        <v>72</v>
      </c>
      <c r="E17" s="23" t="s">
        <v>50</v>
      </c>
      <c r="F17" s="24">
        <f ca="1">ROUND(2*(F16-$C$7)/$C$8,0)/2+F15</f>
        <v>7751</v>
      </c>
    </row>
    <row r="18" spans="1:21" ht="14.25" thickTop="1" thickBot="1">
      <c r="A18" s="25" t="s">
        <v>5</v>
      </c>
      <c r="B18" s="17"/>
      <c r="C18" s="28">
        <f ca="1">+C15</f>
        <v>57508.488477170758</v>
      </c>
      <c r="D18" s="29">
        <f ca="1">+C16</f>
        <v>3.1268880322767001</v>
      </c>
      <c r="E18" s="23" t="s">
        <v>46</v>
      </c>
      <c r="F18" s="13">
        <f ca="1">ROUND(2*(F16-$C$15)/$C$16,0)/2+F15</f>
        <v>904</v>
      </c>
    </row>
    <row r="19" spans="1:21" ht="13.5" thickTop="1">
      <c r="E19" s="23" t="s">
        <v>47</v>
      </c>
      <c r="F19" s="27">
        <f ca="1">+$C$15+$C$16*F18-15018.5-$C$5/24</f>
        <v>45317.091091682232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63</v>
      </c>
      <c r="J20" s="7" t="s">
        <v>58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40" t="s">
        <v>54</v>
      </c>
    </row>
    <row r="21" spans="1:21">
      <c r="A21" s="54" t="s">
        <v>69</v>
      </c>
      <c r="B21" s="55" t="s">
        <v>52</v>
      </c>
      <c r="C21" s="54">
        <v>36076.370000000003</v>
      </c>
      <c r="D21" s="54" t="s">
        <v>63</v>
      </c>
      <c r="E21">
        <f t="shared" ref="E21:E52" si="0">+(C21-C$7)/C$8</f>
        <v>-7.0227818274964067</v>
      </c>
      <c r="F21">
        <f t="shared" ref="F21:F52" si="1">ROUND(2*E21,0)/2</f>
        <v>-7</v>
      </c>
      <c r="G21">
        <f>+C21-(C$7+F21*C$8)</f>
        <v>-7.1237999996810686E-2</v>
      </c>
      <c r="I21">
        <f>+G21</f>
        <v>-7.1237999996810686E-2</v>
      </c>
      <c r="Q21" s="2">
        <f t="shared" ref="Q21:Q52" si="2">+C21-15018.5</f>
        <v>21057.870000000003</v>
      </c>
      <c r="R21" s="2"/>
      <c r="S21" s="2"/>
      <c r="T21" s="2"/>
    </row>
    <row r="22" spans="1:21">
      <c r="A22" t="s">
        <v>12</v>
      </c>
      <c r="C22" s="11">
        <v>36098.33</v>
      </c>
      <c r="D22" s="11" t="s">
        <v>14</v>
      </c>
      <c r="E22">
        <f t="shared" si="0"/>
        <v>0</v>
      </c>
      <c r="F22">
        <f t="shared" si="1"/>
        <v>0</v>
      </c>
      <c r="H22" s="13">
        <v>0</v>
      </c>
      <c r="Q22" s="2">
        <f t="shared" si="2"/>
        <v>21079.83</v>
      </c>
      <c r="R22" s="2"/>
      <c r="S22" s="2"/>
      <c r="T22" s="2"/>
    </row>
    <row r="23" spans="1:21">
      <c r="A23" s="54" t="s">
        <v>69</v>
      </c>
      <c r="B23" s="55" t="s">
        <v>52</v>
      </c>
      <c r="C23" s="54">
        <v>36192.25</v>
      </c>
      <c r="D23" s="54" t="s">
        <v>63</v>
      </c>
      <c r="E23">
        <f t="shared" si="0"/>
        <v>30.035504063682897</v>
      </c>
      <c r="F23">
        <f t="shared" si="1"/>
        <v>30</v>
      </c>
      <c r="G23">
        <f t="shared" ref="G23:G54" si="3">+C23-(C$7+F23*C$8)</f>
        <v>0.11101999999664258</v>
      </c>
      <c r="I23">
        <f>+G23</f>
        <v>0.11101999999664258</v>
      </c>
      <c r="Q23" s="2">
        <f t="shared" si="2"/>
        <v>21173.75</v>
      </c>
      <c r="R23" s="2"/>
      <c r="S23" s="2"/>
      <c r="T23" s="2"/>
    </row>
    <row r="24" spans="1:21">
      <c r="A24" s="54" t="s">
        <v>69</v>
      </c>
      <c r="B24" s="55" t="s">
        <v>52</v>
      </c>
      <c r="C24" s="54">
        <v>36220.25</v>
      </c>
      <c r="D24" s="54" t="s">
        <v>63</v>
      </c>
      <c r="E24">
        <f t="shared" si="0"/>
        <v>38.989870692549346</v>
      </c>
      <c r="F24">
        <f t="shared" si="1"/>
        <v>39</v>
      </c>
      <c r="G24">
        <f t="shared" si="3"/>
        <v>-3.1674000005295966E-2</v>
      </c>
      <c r="I24">
        <f>+G24</f>
        <v>-3.1674000005295966E-2</v>
      </c>
      <c r="Q24" s="2">
        <f t="shared" si="2"/>
        <v>21201.75</v>
      </c>
      <c r="R24" s="2"/>
      <c r="S24" s="2"/>
      <c r="T24" s="2"/>
    </row>
    <row r="25" spans="1:21">
      <c r="A25" s="54" t="s">
        <v>69</v>
      </c>
      <c r="B25" s="55" t="s">
        <v>52</v>
      </c>
      <c r="C25" s="54">
        <v>36370.43</v>
      </c>
      <c r="D25" s="54" t="s">
        <v>63</v>
      </c>
      <c r="E25">
        <f t="shared" si="0"/>
        <v>87.017255704090985</v>
      </c>
      <c r="F25">
        <f t="shared" si="1"/>
        <v>87</v>
      </c>
      <c r="G25">
        <f t="shared" si="3"/>
        <v>5.3957999996782746E-2</v>
      </c>
      <c r="I25">
        <f>+G25</f>
        <v>5.3957999996782746E-2</v>
      </c>
      <c r="Q25" s="2">
        <f t="shared" si="2"/>
        <v>21351.93</v>
      </c>
      <c r="R25" s="2"/>
      <c r="S25" s="2"/>
      <c r="T25" s="2"/>
    </row>
    <row r="26" spans="1:21">
      <c r="A26" s="54" t="s">
        <v>69</v>
      </c>
      <c r="B26" s="55" t="s">
        <v>52</v>
      </c>
      <c r="C26" s="54">
        <v>36492.269999999997</v>
      </c>
      <c r="D26" s="54" t="s">
        <v>63</v>
      </c>
      <c r="E26">
        <f t="shared" si="0"/>
        <v>125.98154249198586</v>
      </c>
      <c r="F26">
        <f t="shared" si="1"/>
        <v>126</v>
      </c>
      <c r="G26">
        <f t="shared" si="3"/>
        <v>-5.7716000002983492E-2</v>
      </c>
      <c r="I26">
        <f>+G26</f>
        <v>-5.7716000002983492E-2</v>
      </c>
      <c r="Q26" s="2">
        <f t="shared" si="2"/>
        <v>21473.769999999997</v>
      </c>
      <c r="R26" s="2"/>
      <c r="S26" s="2"/>
      <c r="T26" s="2"/>
    </row>
    <row r="27" spans="1:21">
      <c r="A27" t="s">
        <v>36</v>
      </c>
      <c r="C27" s="11">
        <v>36814.464000000153</v>
      </c>
      <c r="D27" s="11" t="s">
        <v>37</v>
      </c>
      <c r="E27">
        <f t="shared" si="0"/>
        <v>229.01879969278559</v>
      </c>
      <c r="F27">
        <f t="shared" si="1"/>
        <v>229</v>
      </c>
      <c r="G27">
        <f t="shared" si="3"/>
        <v>5.878600015421398E-2</v>
      </c>
      <c r="H27">
        <f t="shared" ref="H27:H62" si="4">G27</f>
        <v>5.878600015421398E-2</v>
      </c>
      <c r="Q27" s="2">
        <f t="shared" si="2"/>
        <v>21795.964000000153</v>
      </c>
      <c r="R27" s="2"/>
      <c r="S27" s="2"/>
      <c r="T27" s="2"/>
    </row>
    <row r="28" spans="1:21">
      <c r="A28" t="s">
        <v>36</v>
      </c>
      <c r="C28" s="11">
        <v>36839.410000000149</v>
      </c>
      <c r="D28" s="11" t="s">
        <v>37</v>
      </c>
      <c r="E28">
        <f t="shared" si="0"/>
        <v>236.99650076148805</v>
      </c>
      <c r="F28">
        <f t="shared" si="1"/>
        <v>237</v>
      </c>
      <c r="G28">
        <f t="shared" si="3"/>
        <v>-1.0941999855276663E-2</v>
      </c>
      <c r="H28">
        <f t="shared" si="4"/>
        <v>-1.0941999855276663E-2</v>
      </c>
      <c r="Q28" s="2">
        <f t="shared" si="2"/>
        <v>21820.910000000149</v>
      </c>
      <c r="R28" s="2"/>
      <c r="S28" s="2"/>
      <c r="T28" s="2"/>
    </row>
    <row r="29" spans="1:21">
      <c r="A29" t="s">
        <v>36</v>
      </c>
      <c r="C29" s="11">
        <v>37577.421000000089</v>
      </c>
      <c r="D29" s="11" t="s">
        <v>37</v>
      </c>
      <c r="E29">
        <f t="shared" si="0"/>
        <v>473.01153898062455</v>
      </c>
      <c r="F29">
        <f t="shared" si="1"/>
        <v>473</v>
      </c>
      <c r="G29">
        <f t="shared" si="3"/>
        <v>3.6082000086025801E-2</v>
      </c>
      <c r="H29">
        <f t="shared" si="4"/>
        <v>3.6082000086025801E-2</v>
      </c>
      <c r="Q29" s="2">
        <f t="shared" si="2"/>
        <v>22558.921000000089</v>
      </c>
      <c r="R29" s="2"/>
      <c r="S29" s="2"/>
      <c r="T29" s="2"/>
    </row>
    <row r="30" spans="1:21">
      <c r="A30" t="s">
        <v>36</v>
      </c>
      <c r="C30" s="11">
        <v>38243.51099999994</v>
      </c>
      <c r="D30" s="11" t="s">
        <v>37</v>
      </c>
      <c r="E30">
        <f t="shared" si="0"/>
        <v>686.02632711706451</v>
      </c>
      <c r="F30">
        <f t="shared" si="1"/>
        <v>686</v>
      </c>
      <c r="G30">
        <f t="shared" si="3"/>
        <v>8.2323999937216286E-2</v>
      </c>
      <c r="H30">
        <f t="shared" si="4"/>
        <v>8.2323999937216286E-2</v>
      </c>
      <c r="Q30" s="2">
        <f t="shared" si="2"/>
        <v>23225.01099999994</v>
      </c>
      <c r="R30" s="2"/>
      <c r="S30" s="2"/>
      <c r="T30" s="2"/>
    </row>
    <row r="31" spans="1:21">
      <c r="A31" t="s">
        <v>36</v>
      </c>
      <c r="C31" s="11">
        <v>38268.544000000227</v>
      </c>
      <c r="D31" s="11" t="s">
        <v>37</v>
      </c>
      <c r="E31">
        <f t="shared" si="0"/>
        <v>694.03185068217101</v>
      </c>
      <c r="F31">
        <f t="shared" si="1"/>
        <v>694</v>
      </c>
      <c r="G31">
        <f t="shared" si="3"/>
        <v>9.9596000225574244E-2</v>
      </c>
      <c r="H31">
        <f t="shared" si="4"/>
        <v>9.9596000225574244E-2</v>
      </c>
      <c r="Q31" s="2">
        <f t="shared" si="2"/>
        <v>23250.044000000227</v>
      </c>
      <c r="R31" s="2"/>
      <c r="S31" s="2"/>
      <c r="T31" s="2"/>
    </row>
    <row r="32" spans="1:21">
      <c r="A32" t="s">
        <v>36</v>
      </c>
      <c r="C32" s="11">
        <v>38290.449000000022</v>
      </c>
      <c r="D32" s="11" t="s">
        <v>37</v>
      </c>
      <c r="E32">
        <f t="shared" si="0"/>
        <v>701.03704357515267</v>
      </c>
      <c r="F32">
        <f t="shared" si="1"/>
        <v>701</v>
      </c>
      <c r="G32">
        <f t="shared" si="3"/>
        <v>0.11583400001836708</v>
      </c>
      <c r="H32">
        <f t="shared" si="4"/>
        <v>0.11583400001836708</v>
      </c>
      <c r="Q32" s="2">
        <f t="shared" si="2"/>
        <v>23271.949000000022</v>
      </c>
      <c r="R32" s="2"/>
      <c r="S32" s="2"/>
      <c r="T32" s="2"/>
    </row>
    <row r="33" spans="1:20">
      <c r="A33" t="s">
        <v>36</v>
      </c>
      <c r="C33" s="11">
        <v>38315.382999999914</v>
      </c>
      <c r="D33" s="11" t="s">
        <v>37</v>
      </c>
      <c r="E33">
        <f t="shared" si="0"/>
        <v>709.01090705812362</v>
      </c>
      <c r="F33">
        <f t="shared" si="1"/>
        <v>709</v>
      </c>
      <c r="G33">
        <f t="shared" si="3"/>
        <v>3.4105999911844265E-2</v>
      </c>
      <c r="H33">
        <f t="shared" si="4"/>
        <v>3.4105999911844265E-2</v>
      </c>
      <c r="Q33" s="2">
        <f t="shared" si="2"/>
        <v>23296.882999999914</v>
      </c>
      <c r="R33" s="2"/>
      <c r="S33" s="2"/>
      <c r="T33" s="2"/>
    </row>
    <row r="34" spans="1:20">
      <c r="A34" t="s">
        <v>36</v>
      </c>
      <c r="C34" s="11">
        <v>38587.506000000052</v>
      </c>
      <c r="D34" s="11" t="s">
        <v>37</v>
      </c>
      <c r="E34">
        <f t="shared" si="0"/>
        <v>796.03551813484717</v>
      </c>
      <c r="F34">
        <f t="shared" si="1"/>
        <v>796</v>
      </c>
      <c r="G34">
        <f t="shared" si="3"/>
        <v>0.11106400004791794</v>
      </c>
      <c r="H34">
        <f t="shared" si="4"/>
        <v>0.11106400004791794</v>
      </c>
      <c r="Q34" s="2">
        <f t="shared" si="2"/>
        <v>23569.006000000052</v>
      </c>
      <c r="R34" s="2"/>
      <c r="S34" s="2"/>
      <c r="T34" s="2"/>
    </row>
    <row r="35" spans="1:20">
      <c r="A35" t="s">
        <v>36</v>
      </c>
      <c r="C35" s="11">
        <v>38709.353999999817</v>
      </c>
      <c r="D35" s="11" t="s">
        <v>37</v>
      </c>
      <c r="E35">
        <f t="shared" si="0"/>
        <v>835.00236331313351</v>
      </c>
      <c r="F35">
        <f t="shared" si="1"/>
        <v>835</v>
      </c>
      <c r="G35">
        <f t="shared" si="3"/>
        <v>7.3899998169508763E-3</v>
      </c>
      <c r="H35">
        <f t="shared" si="4"/>
        <v>7.3899998169508763E-3</v>
      </c>
      <c r="Q35" s="2">
        <f t="shared" si="2"/>
        <v>23690.853999999817</v>
      </c>
      <c r="R35" s="2"/>
      <c r="S35" s="2"/>
      <c r="T35" s="2"/>
    </row>
    <row r="36" spans="1:20">
      <c r="A36" t="s">
        <v>36</v>
      </c>
      <c r="C36" s="11">
        <v>38709.384000000078</v>
      </c>
      <c r="D36" s="11" t="s">
        <v>37</v>
      </c>
      <c r="E36">
        <f t="shared" si="0"/>
        <v>835.0119572774621</v>
      </c>
      <c r="F36">
        <f t="shared" si="1"/>
        <v>835</v>
      </c>
      <c r="G36">
        <f t="shared" si="3"/>
        <v>3.7390000077721197E-2</v>
      </c>
      <c r="H36">
        <f t="shared" si="4"/>
        <v>3.7390000077721197E-2</v>
      </c>
      <c r="Q36" s="2">
        <f t="shared" si="2"/>
        <v>23690.884000000078</v>
      </c>
      <c r="R36" s="2"/>
      <c r="S36" s="2"/>
      <c r="T36" s="2"/>
    </row>
    <row r="37" spans="1:20">
      <c r="A37" t="s">
        <v>36</v>
      </c>
      <c r="C37" s="11">
        <v>38753.271000000183</v>
      </c>
      <c r="D37" s="11" t="s">
        <v>37</v>
      </c>
      <c r="E37">
        <f t="shared" si="0"/>
        <v>849.0469675718191</v>
      </c>
      <c r="F37">
        <f t="shared" si="1"/>
        <v>849</v>
      </c>
      <c r="G37">
        <f t="shared" si="3"/>
        <v>0.14686600018467288</v>
      </c>
      <c r="H37">
        <f t="shared" si="4"/>
        <v>0.14686600018467288</v>
      </c>
      <c r="Q37" s="2">
        <f t="shared" si="2"/>
        <v>23734.771000000183</v>
      </c>
      <c r="R37" s="2"/>
      <c r="S37" s="2"/>
      <c r="T37" s="2"/>
    </row>
    <row r="38" spans="1:20">
      <c r="A38" t="s">
        <v>36</v>
      </c>
      <c r="C38" s="11">
        <v>39031.501000000164</v>
      </c>
      <c r="D38" s="11" t="s">
        <v>37</v>
      </c>
      <c r="E38">
        <f t="shared" si="0"/>
        <v>938.02458997000997</v>
      </c>
      <c r="F38">
        <f t="shared" si="1"/>
        <v>938</v>
      </c>
      <c r="G38">
        <f t="shared" si="3"/>
        <v>7.6892000164662022E-2</v>
      </c>
      <c r="H38">
        <f t="shared" si="4"/>
        <v>7.6892000164662022E-2</v>
      </c>
      <c r="Q38" s="2">
        <f t="shared" si="2"/>
        <v>24013.001000000164</v>
      </c>
      <c r="R38" s="2"/>
      <c r="S38" s="2"/>
      <c r="T38" s="2"/>
    </row>
    <row r="39" spans="1:20">
      <c r="A39" t="s">
        <v>36</v>
      </c>
      <c r="C39" s="11">
        <v>39053.390999999829</v>
      </c>
      <c r="D39" s="11" t="s">
        <v>37</v>
      </c>
      <c r="E39">
        <f t="shared" si="0"/>
        <v>945.02498588082733</v>
      </c>
      <c r="F39">
        <f t="shared" si="1"/>
        <v>945</v>
      </c>
      <c r="G39">
        <f t="shared" si="3"/>
        <v>7.8129999827069696E-2</v>
      </c>
      <c r="H39">
        <f t="shared" si="4"/>
        <v>7.8129999827069696E-2</v>
      </c>
      <c r="Q39" s="2">
        <f t="shared" si="2"/>
        <v>24034.890999999829</v>
      </c>
      <c r="R39" s="2"/>
      <c r="S39" s="2"/>
      <c r="T39" s="2"/>
    </row>
    <row r="40" spans="1:20">
      <c r="A40" t="s">
        <v>36</v>
      </c>
      <c r="C40" s="11">
        <v>39350.521000000183</v>
      </c>
      <c r="D40" s="11" t="s">
        <v>37</v>
      </c>
      <c r="E40">
        <f t="shared" si="0"/>
        <v>1040.0468057536223</v>
      </c>
      <c r="F40">
        <f t="shared" si="1"/>
        <v>1040</v>
      </c>
      <c r="G40">
        <f t="shared" si="3"/>
        <v>0.14636000018072082</v>
      </c>
      <c r="H40">
        <f t="shared" si="4"/>
        <v>0.14636000018072082</v>
      </c>
      <c r="Q40" s="2">
        <f t="shared" si="2"/>
        <v>24332.021000000183</v>
      </c>
      <c r="R40" s="2"/>
      <c r="S40" s="2"/>
      <c r="T40" s="2"/>
    </row>
    <row r="41" spans="1:20">
      <c r="A41" t="s">
        <v>36</v>
      </c>
      <c r="C41" s="11">
        <v>39597.569000000134</v>
      </c>
      <c r="D41" s="11" t="s">
        <v>37</v>
      </c>
      <c r="E41">
        <f t="shared" si="0"/>
        <v>1119.052461715328</v>
      </c>
      <c r="F41">
        <f t="shared" si="1"/>
        <v>1119</v>
      </c>
      <c r="G41">
        <f t="shared" si="3"/>
        <v>0.16404600013629533</v>
      </c>
      <c r="H41">
        <f t="shared" si="4"/>
        <v>0.16404600013629533</v>
      </c>
      <c r="Q41" s="2">
        <f t="shared" si="2"/>
        <v>24579.069000000134</v>
      </c>
      <c r="R41" s="2"/>
      <c r="S41" s="2"/>
      <c r="T41" s="2"/>
    </row>
    <row r="42" spans="1:20">
      <c r="A42" t="s">
        <v>36</v>
      </c>
      <c r="C42" s="11">
        <v>39672.498000000138</v>
      </c>
      <c r="D42" s="11" t="s">
        <v>37</v>
      </c>
      <c r="E42">
        <f t="shared" si="0"/>
        <v>1143.014666612984</v>
      </c>
      <c r="F42">
        <f t="shared" si="1"/>
        <v>1143</v>
      </c>
      <c r="G42">
        <f t="shared" si="3"/>
        <v>4.5862000137276482E-2</v>
      </c>
      <c r="H42">
        <f t="shared" si="4"/>
        <v>4.5862000137276482E-2</v>
      </c>
      <c r="Q42" s="2">
        <f t="shared" si="2"/>
        <v>24653.998000000138</v>
      </c>
      <c r="R42" s="2"/>
      <c r="S42" s="2"/>
      <c r="T42" s="2"/>
    </row>
    <row r="43" spans="1:20">
      <c r="A43" t="s">
        <v>36</v>
      </c>
      <c r="C43" s="11">
        <v>40066.507999999914</v>
      </c>
      <c r="D43" s="11" t="s">
        <v>37</v>
      </c>
      <c r="E43">
        <f t="shared" si="0"/>
        <v>1269.018595021472</v>
      </c>
      <c r="F43">
        <f t="shared" si="1"/>
        <v>1269</v>
      </c>
      <c r="G43">
        <f t="shared" si="3"/>
        <v>5.8145999915723223E-2</v>
      </c>
      <c r="H43">
        <f t="shared" si="4"/>
        <v>5.8145999915723223E-2</v>
      </c>
      <c r="Q43" s="2">
        <f t="shared" si="2"/>
        <v>25048.007999999914</v>
      </c>
      <c r="R43" s="2"/>
      <c r="S43" s="2"/>
      <c r="T43" s="2"/>
    </row>
    <row r="44" spans="1:20">
      <c r="A44" t="s">
        <v>36</v>
      </c>
      <c r="C44" s="11">
        <v>40088.430000000168</v>
      </c>
      <c r="D44" s="11" t="s">
        <v>37</v>
      </c>
      <c r="E44">
        <f t="shared" si="0"/>
        <v>1276.0292244943391</v>
      </c>
      <c r="F44">
        <f t="shared" si="1"/>
        <v>1276</v>
      </c>
      <c r="G44">
        <f t="shared" si="3"/>
        <v>9.1384000166726764E-2</v>
      </c>
      <c r="H44">
        <f t="shared" si="4"/>
        <v>9.1384000166726764E-2</v>
      </c>
      <c r="Q44" s="2">
        <f t="shared" si="2"/>
        <v>25069.930000000168</v>
      </c>
      <c r="R44" s="2"/>
      <c r="S44" s="2"/>
      <c r="T44" s="2"/>
    </row>
    <row r="45" spans="1:20">
      <c r="A45" t="s">
        <v>36</v>
      </c>
      <c r="C45" s="11">
        <v>40457.487999999896</v>
      </c>
      <c r="D45" s="11" t="s">
        <v>37</v>
      </c>
      <c r="E45">
        <f t="shared" si="0"/>
        <v>1394.0535330412592</v>
      </c>
      <c r="F45">
        <f t="shared" si="1"/>
        <v>1394</v>
      </c>
      <c r="G45">
        <f t="shared" si="3"/>
        <v>0.16739599989523413</v>
      </c>
      <c r="H45">
        <f t="shared" si="4"/>
        <v>0.16739599989523413</v>
      </c>
      <c r="Q45" s="2">
        <f t="shared" si="2"/>
        <v>25438.987999999896</v>
      </c>
      <c r="R45" s="2"/>
      <c r="S45" s="2"/>
      <c r="T45" s="2"/>
    </row>
    <row r="46" spans="1:20">
      <c r="A46" t="s">
        <v>36</v>
      </c>
      <c r="C46" s="11">
        <v>40504.398000000045</v>
      </c>
      <c r="D46" s="11" t="s">
        <v>37</v>
      </c>
      <c r="E46">
        <f t="shared" si="0"/>
        <v>1409.05529513274</v>
      </c>
      <c r="F46">
        <f t="shared" si="1"/>
        <v>1409</v>
      </c>
      <c r="G46">
        <f t="shared" si="3"/>
        <v>0.17290600004344014</v>
      </c>
      <c r="H46">
        <f t="shared" si="4"/>
        <v>0.17290600004344014</v>
      </c>
      <c r="Q46" s="2">
        <f t="shared" si="2"/>
        <v>25485.898000000045</v>
      </c>
      <c r="R46" s="2"/>
      <c r="S46" s="2"/>
      <c r="T46" s="2"/>
    </row>
    <row r="47" spans="1:20">
      <c r="A47" t="s">
        <v>36</v>
      </c>
      <c r="C47" s="11">
        <v>40504.42799999984</v>
      </c>
      <c r="D47" s="11" t="s">
        <v>37</v>
      </c>
      <c r="E47">
        <f t="shared" si="0"/>
        <v>1409.0648890969196</v>
      </c>
      <c r="F47">
        <f t="shared" si="1"/>
        <v>1409</v>
      </c>
      <c r="G47">
        <f t="shared" si="3"/>
        <v>0.20290599983854918</v>
      </c>
      <c r="H47">
        <f t="shared" si="4"/>
        <v>0.20290599983854918</v>
      </c>
      <c r="Q47" s="2">
        <f t="shared" si="2"/>
        <v>25485.92799999984</v>
      </c>
      <c r="R47" s="2"/>
      <c r="S47" s="2"/>
      <c r="T47" s="2"/>
    </row>
    <row r="48" spans="1:20">
      <c r="A48" t="s">
        <v>36</v>
      </c>
      <c r="C48" s="11">
        <v>40507.413000000175</v>
      </c>
      <c r="D48" s="11" t="s">
        <v>37</v>
      </c>
      <c r="E48">
        <f t="shared" si="0"/>
        <v>1410.0194885394255</v>
      </c>
      <c r="F48">
        <f t="shared" si="1"/>
        <v>1410</v>
      </c>
      <c r="G48">
        <f t="shared" si="3"/>
        <v>6.0940000170376152E-2</v>
      </c>
      <c r="H48">
        <f t="shared" si="4"/>
        <v>6.0940000170376152E-2</v>
      </c>
      <c r="Q48" s="2">
        <f t="shared" si="2"/>
        <v>25488.913000000175</v>
      </c>
      <c r="R48" s="2"/>
      <c r="S48" s="2"/>
      <c r="T48" s="2"/>
    </row>
    <row r="49" spans="1:20">
      <c r="A49" t="s">
        <v>36</v>
      </c>
      <c r="C49" s="11">
        <v>41517.478999999817</v>
      </c>
      <c r="D49" s="11" t="s">
        <v>37</v>
      </c>
      <c r="E49">
        <f t="shared" si="0"/>
        <v>1733.0373915161904</v>
      </c>
      <c r="F49">
        <f t="shared" si="1"/>
        <v>1733</v>
      </c>
      <c r="G49">
        <f t="shared" si="3"/>
        <v>0.11692199981189333</v>
      </c>
      <c r="H49">
        <f t="shared" si="4"/>
        <v>0.11692199981189333</v>
      </c>
      <c r="Q49" s="2">
        <f t="shared" si="2"/>
        <v>26498.978999999817</v>
      </c>
      <c r="R49" s="2"/>
      <c r="S49" s="2"/>
      <c r="T49" s="2"/>
    </row>
    <row r="50" spans="1:20">
      <c r="A50" t="s">
        <v>36</v>
      </c>
      <c r="C50" s="11">
        <v>41567.450999999885</v>
      </c>
      <c r="D50" s="11" t="s">
        <v>37</v>
      </c>
      <c r="E50">
        <f t="shared" si="0"/>
        <v>1749.0183775582732</v>
      </c>
      <c r="F50">
        <f t="shared" si="1"/>
        <v>1749</v>
      </c>
      <c r="G50">
        <f t="shared" si="3"/>
        <v>5.7465999881969765E-2</v>
      </c>
      <c r="H50">
        <f t="shared" si="4"/>
        <v>5.7465999881969765E-2</v>
      </c>
      <c r="Q50" s="2">
        <f t="shared" si="2"/>
        <v>26548.950999999885</v>
      </c>
      <c r="R50" s="2"/>
      <c r="S50" s="2"/>
      <c r="T50" s="2"/>
    </row>
    <row r="51" spans="1:20">
      <c r="A51" t="s">
        <v>36</v>
      </c>
      <c r="C51" s="11">
        <v>41983.345000000205</v>
      </c>
      <c r="D51" s="11" t="s">
        <v>37</v>
      </c>
      <c r="E51">
        <f t="shared" si="0"/>
        <v>1882.0207830850106</v>
      </c>
      <c r="F51">
        <f t="shared" si="1"/>
        <v>1882</v>
      </c>
      <c r="G51">
        <f t="shared" si="3"/>
        <v>6.4988000201992691E-2</v>
      </c>
      <c r="H51">
        <f t="shared" si="4"/>
        <v>6.4988000201992691E-2</v>
      </c>
      <c r="Q51" s="2">
        <f t="shared" si="2"/>
        <v>26964.845000000205</v>
      </c>
      <c r="R51" s="2"/>
      <c r="S51" s="2"/>
      <c r="T51" s="2"/>
    </row>
    <row r="52" spans="1:20">
      <c r="A52" t="s">
        <v>36</v>
      </c>
      <c r="C52" s="11">
        <v>42602.496999999974</v>
      </c>
      <c r="D52" s="11" t="s">
        <v>37</v>
      </c>
      <c r="E52">
        <f t="shared" si="0"/>
        <v>2080.0248547633623</v>
      </c>
      <c r="F52">
        <f t="shared" si="1"/>
        <v>2080</v>
      </c>
      <c r="G52">
        <f t="shared" si="3"/>
        <v>7.7719999972032383E-2</v>
      </c>
      <c r="H52">
        <f t="shared" si="4"/>
        <v>7.7719999972032383E-2</v>
      </c>
      <c r="Q52" s="2">
        <f t="shared" si="2"/>
        <v>27583.996999999974</v>
      </c>
      <c r="R52" s="2"/>
      <c r="S52" s="2"/>
      <c r="T52" s="2"/>
    </row>
    <row r="53" spans="1:20">
      <c r="A53" t="s">
        <v>36</v>
      </c>
      <c r="C53" s="11">
        <v>42627.483000000007</v>
      </c>
      <c r="D53" s="11" t="s">
        <v>37</v>
      </c>
      <c r="E53">
        <f t="shared" ref="E53:E84" si="5">+(C53-C$7)/C$8</f>
        <v>2088.0153477844037</v>
      </c>
      <c r="F53">
        <f t="shared" ref="F53:F84" si="6">ROUND(2*E53,0)/2</f>
        <v>2088</v>
      </c>
      <c r="G53">
        <f t="shared" si="3"/>
        <v>4.7992000007070601E-2</v>
      </c>
      <c r="H53">
        <f t="shared" si="4"/>
        <v>4.7992000007070601E-2</v>
      </c>
      <c r="Q53" s="2">
        <f t="shared" ref="Q53:Q84" si="7">+C53-15018.5</f>
        <v>27608.983000000007</v>
      </c>
      <c r="R53" s="2"/>
      <c r="S53" s="2"/>
      <c r="T53" s="2"/>
    </row>
    <row r="54" spans="1:20">
      <c r="A54" t="s">
        <v>36</v>
      </c>
      <c r="C54" s="11">
        <v>43340.472000000067</v>
      </c>
      <c r="D54" s="11" t="s">
        <v>37</v>
      </c>
      <c r="E54">
        <f t="shared" si="5"/>
        <v>2316.0283802254535</v>
      </c>
      <c r="F54">
        <f t="shared" si="6"/>
        <v>2316</v>
      </c>
      <c r="G54">
        <f t="shared" si="3"/>
        <v>8.8744000066071749E-2</v>
      </c>
      <c r="H54">
        <f t="shared" si="4"/>
        <v>8.8744000066071749E-2</v>
      </c>
      <c r="Q54" s="2">
        <f t="shared" si="7"/>
        <v>28321.972000000067</v>
      </c>
      <c r="R54" s="2"/>
      <c r="S54" s="2"/>
      <c r="T54" s="2"/>
    </row>
    <row r="55" spans="1:20">
      <c r="A55" t="s">
        <v>36</v>
      </c>
      <c r="C55" s="11">
        <v>44172.26099999994</v>
      </c>
      <c r="D55" s="11" t="s">
        <v>37</v>
      </c>
      <c r="E55">
        <f t="shared" si="5"/>
        <v>2582.0335110774913</v>
      </c>
      <c r="F55">
        <f t="shared" si="6"/>
        <v>2582</v>
      </c>
      <c r="G55">
        <f t="shared" ref="G55:G86" si="8">+C55-(C$7+F55*C$8)</f>
        <v>0.1047879999387078</v>
      </c>
      <c r="H55">
        <f t="shared" si="4"/>
        <v>0.1047879999387078</v>
      </c>
      <c r="Q55" s="2">
        <f t="shared" si="7"/>
        <v>29153.76099999994</v>
      </c>
      <c r="R55" s="2"/>
      <c r="S55" s="2"/>
      <c r="T55" s="2"/>
    </row>
    <row r="56" spans="1:20">
      <c r="A56" t="s">
        <v>36</v>
      </c>
      <c r="C56" s="11">
        <v>44541.293000000063</v>
      </c>
      <c r="D56" s="11" t="s">
        <v>37</v>
      </c>
      <c r="E56">
        <f t="shared" si="5"/>
        <v>2700.0495048555249</v>
      </c>
      <c r="F56">
        <f t="shared" si="6"/>
        <v>2700</v>
      </c>
      <c r="G56">
        <f t="shared" si="8"/>
        <v>0.15480000006209593</v>
      </c>
      <c r="H56">
        <f t="shared" si="4"/>
        <v>0.15480000006209593</v>
      </c>
      <c r="Q56" s="2">
        <f t="shared" si="7"/>
        <v>29522.793000000063</v>
      </c>
      <c r="R56" s="2"/>
      <c r="S56" s="2"/>
      <c r="T56" s="2"/>
    </row>
    <row r="57" spans="1:20">
      <c r="A57" t="s">
        <v>36</v>
      </c>
      <c r="C57" s="11">
        <v>44816.464000000153</v>
      </c>
      <c r="D57" s="11" t="s">
        <v>37</v>
      </c>
      <c r="E57">
        <f t="shared" si="5"/>
        <v>2788.048862699547</v>
      </c>
      <c r="F57">
        <f t="shared" si="6"/>
        <v>2788</v>
      </c>
      <c r="G57">
        <f t="shared" si="8"/>
        <v>0.15279200015356764</v>
      </c>
      <c r="H57">
        <f t="shared" si="4"/>
        <v>0.15279200015356764</v>
      </c>
      <c r="Q57" s="2">
        <f t="shared" si="7"/>
        <v>29797.964000000153</v>
      </c>
      <c r="R57" s="2"/>
      <c r="S57" s="2"/>
      <c r="T57" s="2"/>
    </row>
    <row r="58" spans="1:20">
      <c r="A58" t="s">
        <v>36</v>
      </c>
      <c r="C58" s="11">
        <v>44985.236000000034</v>
      </c>
      <c r="D58" s="11" t="s">
        <v>37</v>
      </c>
      <c r="E58">
        <f t="shared" si="5"/>
        <v>2842.0219471526175</v>
      </c>
      <c r="F58">
        <f t="shared" si="6"/>
        <v>2842</v>
      </c>
      <c r="G58">
        <f t="shared" si="8"/>
        <v>6.8628000030003022E-2</v>
      </c>
      <c r="H58">
        <f t="shared" si="4"/>
        <v>6.8628000030003022E-2</v>
      </c>
      <c r="Q58" s="2">
        <f t="shared" si="7"/>
        <v>29966.736000000034</v>
      </c>
      <c r="R58" s="2"/>
      <c r="S58" s="2"/>
      <c r="T58" s="2"/>
    </row>
    <row r="59" spans="1:20">
      <c r="A59" t="s">
        <v>36</v>
      </c>
      <c r="C59" s="11">
        <v>45138.501000000164</v>
      </c>
      <c r="D59" s="11" t="s">
        <v>37</v>
      </c>
      <c r="E59">
        <f t="shared" si="5"/>
        <v>2891.0359114874168</v>
      </c>
      <c r="F59">
        <f t="shared" si="6"/>
        <v>2891</v>
      </c>
      <c r="G59">
        <f t="shared" si="8"/>
        <v>0.11229400016600266</v>
      </c>
      <c r="H59">
        <f t="shared" si="4"/>
        <v>0.11229400016600266</v>
      </c>
      <c r="Q59" s="2">
        <f t="shared" si="7"/>
        <v>30120.001000000164</v>
      </c>
      <c r="R59" s="2"/>
      <c r="S59" s="2"/>
      <c r="T59" s="2"/>
    </row>
    <row r="60" spans="1:20">
      <c r="A60" t="s">
        <v>36</v>
      </c>
      <c r="C60" s="11">
        <v>45163.43899999978</v>
      </c>
      <c r="D60" s="11" t="s">
        <v>37</v>
      </c>
      <c r="E60">
        <f t="shared" si="5"/>
        <v>2899.0110541655326</v>
      </c>
      <c r="F60">
        <f t="shared" si="6"/>
        <v>2899</v>
      </c>
      <c r="G60">
        <f t="shared" si="8"/>
        <v>3.4565999776532408E-2</v>
      </c>
      <c r="H60">
        <f t="shared" si="4"/>
        <v>3.4565999776532408E-2</v>
      </c>
      <c r="Q60" s="2">
        <f t="shared" si="7"/>
        <v>30144.93899999978</v>
      </c>
      <c r="R60" s="2"/>
      <c r="S60" s="2"/>
      <c r="T60" s="2"/>
    </row>
    <row r="61" spans="1:20">
      <c r="A61" t="s">
        <v>36</v>
      </c>
      <c r="C61" s="11">
        <v>45676.273000000045</v>
      </c>
      <c r="D61" s="11" t="s">
        <v>37</v>
      </c>
      <c r="E61">
        <f t="shared" si="5"/>
        <v>3063.0147561566205</v>
      </c>
      <c r="F61">
        <f t="shared" si="6"/>
        <v>3063</v>
      </c>
      <c r="G61">
        <f t="shared" si="8"/>
        <v>4.6142000042891596E-2</v>
      </c>
      <c r="H61">
        <f t="shared" si="4"/>
        <v>4.6142000042891596E-2</v>
      </c>
      <c r="Q61" s="2">
        <f t="shared" si="7"/>
        <v>30657.773000000045</v>
      </c>
      <c r="R61" s="2"/>
      <c r="S61" s="2"/>
      <c r="T61" s="2"/>
    </row>
    <row r="62" spans="1:20">
      <c r="A62" t="s">
        <v>36</v>
      </c>
      <c r="C62" s="11">
        <v>45973.341000000015</v>
      </c>
      <c r="D62" s="11" t="s">
        <v>37</v>
      </c>
      <c r="E62">
        <f t="shared" si="5"/>
        <v>3158.0167485031861</v>
      </c>
      <c r="F62">
        <f t="shared" si="6"/>
        <v>3158</v>
      </c>
      <c r="G62">
        <f t="shared" si="8"/>
        <v>5.2372000012837816E-2</v>
      </c>
      <c r="H62">
        <f t="shared" si="4"/>
        <v>5.2372000012837816E-2</v>
      </c>
      <c r="Q62" s="2">
        <f t="shared" si="7"/>
        <v>30954.841000000015</v>
      </c>
      <c r="R62" s="2"/>
      <c r="S62" s="2"/>
      <c r="T62" s="2"/>
    </row>
    <row r="63" spans="1:20">
      <c r="A63" s="54" t="s">
        <v>307</v>
      </c>
      <c r="B63" s="55" t="s">
        <v>52</v>
      </c>
      <c r="C63" s="54">
        <v>46270.44</v>
      </c>
      <c r="D63" s="54" t="s">
        <v>63</v>
      </c>
      <c r="E63">
        <f t="shared" si="5"/>
        <v>3253.0286546128104</v>
      </c>
      <c r="F63">
        <f t="shared" si="6"/>
        <v>3253</v>
      </c>
      <c r="G63">
        <f t="shared" si="8"/>
        <v>8.9602000000013504E-2</v>
      </c>
      <c r="I63">
        <f>+G63</f>
        <v>8.9602000000013504E-2</v>
      </c>
      <c r="Q63" s="2">
        <f t="shared" si="7"/>
        <v>31251.940000000002</v>
      </c>
      <c r="R63" s="2"/>
      <c r="S63" s="2"/>
      <c r="T63" s="2"/>
    </row>
    <row r="64" spans="1:20">
      <c r="A64" t="s">
        <v>36</v>
      </c>
      <c r="C64" s="11">
        <v>46270.496999999974</v>
      </c>
      <c r="D64" s="11" t="s">
        <v>37</v>
      </c>
      <c r="E64">
        <f t="shared" si="5"/>
        <v>3253.046883144867</v>
      </c>
      <c r="F64">
        <f t="shared" si="6"/>
        <v>3253</v>
      </c>
      <c r="G64">
        <f t="shared" si="8"/>
        <v>0.14660199997160817</v>
      </c>
      <c r="H64">
        <f>G64</f>
        <v>0.14660199997160817</v>
      </c>
      <c r="Q64" s="2">
        <f t="shared" si="7"/>
        <v>31251.996999999974</v>
      </c>
      <c r="R64" s="2"/>
      <c r="S64" s="2"/>
      <c r="T64" s="2"/>
    </row>
    <row r="65" spans="1:34">
      <c r="A65" t="s">
        <v>36</v>
      </c>
      <c r="C65" s="11">
        <v>46320.404999999795</v>
      </c>
      <c r="D65" s="11" t="s">
        <v>37</v>
      </c>
      <c r="E65">
        <f t="shared" si="5"/>
        <v>3269.0074020631482</v>
      </c>
      <c r="F65">
        <f t="shared" si="6"/>
        <v>3269</v>
      </c>
      <c r="G65">
        <f t="shared" si="8"/>
        <v>2.3145999795815442E-2</v>
      </c>
      <c r="H65">
        <f>G65</f>
        <v>2.3145999795815442E-2</v>
      </c>
      <c r="Q65" s="2">
        <f t="shared" si="7"/>
        <v>31301.904999999795</v>
      </c>
      <c r="R65" s="2"/>
      <c r="S65" s="2"/>
      <c r="T65" s="2"/>
    </row>
    <row r="66" spans="1:34">
      <c r="A66" s="54" t="s">
        <v>210</v>
      </c>
      <c r="B66" s="55" t="s">
        <v>52</v>
      </c>
      <c r="C66" s="54">
        <v>46642.542999999998</v>
      </c>
      <c r="D66" s="54" t="s">
        <v>63</v>
      </c>
      <c r="E66">
        <f t="shared" si="5"/>
        <v>3372.0267505307052</v>
      </c>
      <c r="F66">
        <f t="shared" si="6"/>
        <v>3372</v>
      </c>
      <c r="G66">
        <f t="shared" si="8"/>
        <v>8.3647999992535915E-2</v>
      </c>
      <c r="I66">
        <f>+G66</f>
        <v>8.3647999992535915E-2</v>
      </c>
      <c r="Q66" s="2">
        <f t="shared" si="7"/>
        <v>31624.042999999998</v>
      </c>
      <c r="R66" s="2"/>
      <c r="S66" s="2"/>
      <c r="T66" s="2"/>
    </row>
    <row r="67" spans="1:34">
      <c r="A67" t="s">
        <v>36</v>
      </c>
      <c r="C67" s="11">
        <v>46714.376000000164</v>
      </c>
      <c r="D67" s="11" t="s">
        <v>37</v>
      </c>
      <c r="E67">
        <f t="shared" si="5"/>
        <v>3394.9988583183067</v>
      </c>
      <c r="F67">
        <f t="shared" si="6"/>
        <v>3395</v>
      </c>
      <c r="G67">
        <f t="shared" si="8"/>
        <v>-3.569999840692617E-3</v>
      </c>
      <c r="H67">
        <f>G67</f>
        <v>-3.569999840692617E-3</v>
      </c>
      <c r="Q67" s="2">
        <f t="shared" si="7"/>
        <v>31695.876000000164</v>
      </c>
      <c r="R67" s="2"/>
      <c r="S67" s="2"/>
      <c r="T67" s="2"/>
    </row>
    <row r="68" spans="1:34">
      <c r="A68" t="s">
        <v>29</v>
      </c>
      <c r="C68" s="32">
        <v>47330.438999999998</v>
      </c>
      <c r="D68" s="11"/>
      <c r="E68">
        <f t="shared" si="5"/>
        <v>3592.0150714782308</v>
      </c>
      <c r="F68">
        <f t="shared" si="6"/>
        <v>3592</v>
      </c>
      <c r="G68">
        <f t="shared" si="8"/>
        <v>4.7127999998338055E-2</v>
      </c>
      <c r="I68">
        <f>+G68</f>
        <v>4.7127999998338055E-2</v>
      </c>
      <c r="Q68" s="2">
        <f t="shared" si="7"/>
        <v>32311.938999999998</v>
      </c>
      <c r="R68" s="2"/>
      <c r="S68" s="2"/>
      <c r="T68" s="2"/>
      <c r="AD68">
        <v>5</v>
      </c>
      <c r="AF68" t="s">
        <v>28</v>
      </c>
      <c r="AH68" t="s">
        <v>30</v>
      </c>
    </row>
    <row r="69" spans="1:34">
      <c r="A69" t="s">
        <v>31</v>
      </c>
      <c r="C69" s="32">
        <v>47449.283000000003</v>
      </c>
      <c r="D69" s="11"/>
      <c r="E69">
        <f t="shared" si="5"/>
        <v>3630.0212410368395</v>
      </c>
      <c r="F69">
        <f t="shared" si="6"/>
        <v>3630</v>
      </c>
      <c r="G69">
        <f t="shared" si="8"/>
        <v>6.6420000002835877E-2</v>
      </c>
      <c r="I69">
        <f>+G69</f>
        <v>6.6420000002835877E-2</v>
      </c>
      <c r="O69">
        <f t="shared" ref="O69:O91" ca="1" si="9">+C$11+C$12*F69</f>
        <v>7.3097336612649944E-2</v>
      </c>
      <c r="Q69" s="2">
        <f t="shared" si="7"/>
        <v>32430.783000000003</v>
      </c>
      <c r="R69" s="2"/>
      <c r="S69" s="2"/>
      <c r="T69" s="2"/>
      <c r="AD69">
        <v>6</v>
      </c>
      <c r="AF69" t="s">
        <v>28</v>
      </c>
      <c r="AH69" t="s">
        <v>30</v>
      </c>
    </row>
    <row r="70" spans="1:34">
      <c r="A70" t="s">
        <v>32</v>
      </c>
      <c r="C70" s="32">
        <v>47746.355000000003</v>
      </c>
      <c r="D70" s="11"/>
      <c r="E70">
        <f t="shared" si="5"/>
        <v>3725.0245125786473</v>
      </c>
      <c r="F70">
        <f t="shared" si="6"/>
        <v>3725</v>
      </c>
      <c r="G70">
        <f t="shared" si="8"/>
        <v>7.6650000002700835E-2</v>
      </c>
      <c r="I70">
        <f>+G70</f>
        <v>7.6650000002700835E-2</v>
      </c>
      <c r="O70">
        <f t="shared" ca="1" si="9"/>
        <v>6.5690402899169331E-2</v>
      </c>
      <c r="Q70" s="2">
        <f t="shared" si="7"/>
        <v>32727.855000000003</v>
      </c>
      <c r="R70" s="2"/>
      <c r="S70" s="2"/>
      <c r="T70" s="2"/>
      <c r="AD70">
        <v>7</v>
      </c>
      <c r="AF70" t="s">
        <v>28</v>
      </c>
      <c r="AH70" t="s">
        <v>30</v>
      </c>
    </row>
    <row r="71" spans="1:34">
      <c r="A71" t="s">
        <v>36</v>
      </c>
      <c r="C71" s="11">
        <v>48093.498000000138</v>
      </c>
      <c r="D71" s="11" t="s">
        <v>37</v>
      </c>
      <c r="E71">
        <f t="shared" si="5"/>
        <v>3836.0404302445681</v>
      </c>
      <c r="F71">
        <f t="shared" si="6"/>
        <v>3836</v>
      </c>
      <c r="G71">
        <f t="shared" si="8"/>
        <v>0.12642400013282895</v>
      </c>
      <c r="H71">
        <f>G71</f>
        <v>0.12642400013282895</v>
      </c>
      <c r="O71">
        <f t="shared" ca="1" si="9"/>
        <v>5.7035985612892026E-2</v>
      </c>
      <c r="Q71" s="2">
        <f t="shared" si="7"/>
        <v>33074.998000000138</v>
      </c>
      <c r="R71" s="2"/>
      <c r="S71" s="2"/>
      <c r="T71" s="2"/>
    </row>
    <row r="72" spans="1:34">
      <c r="A72" t="s">
        <v>36</v>
      </c>
      <c r="C72" s="11">
        <v>48096.504999999888</v>
      </c>
      <c r="D72" s="11" t="s">
        <v>37</v>
      </c>
      <c r="E72">
        <f t="shared" si="5"/>
        <v>3837.0020652606668</v>
      </c>
      <c r="F72">
        <f t="shared" si="6"/>
        <v>3837</v>
      </c>
      <c r="G72">
        <f t="shared" si="8"/>
        <v>6.4579998870613053E-3</v>
      </c>
      <c r="H72">
        <f>G72</f>
        <v>6.4579998870613053E-3</v>
      </c>
      <c r="O72">
        <f t="shared" ca="1" si="9"/>
        <v>5.6958017889592261E-2</v>
      </c>
      <c r="Q72" s="2">
        <f t="shared" si="7"/>
        <v>33078.004999999888</v>
      </c>
      <c r="R72" s="2"/>
      <c r="S72" s="2"/>
      <c r="T72" s="2"/>
    </row>
    <row r="73" spans="1:34">
      <c r="A73" t="s">
        <v>36</v>
      </c>
      <c r="C73" s="11">
        <v>48512.402999999933</v>
      </c>
      <c r="D73" s="11" t="s">
        <v>37</v>
      </c>
      <c r="E73">
        <f t="shared" si="5"/>
        <v>3970.0057499825489</v>
      </c>
      <c r="F73">
        <f t="shared" si="6"/>
        <v>3970</v>
      </c>
      <c r="G73">
        <f t="shared" si="8"/>
        <v>1.7979999931412749E-2</v>
      </c>
      <c r="H73">
        <f>G73</f>
        <v>1.7979999931412749E-2</v>
      </c>
      <c r="O73">
        <f t="shared" ca="1" si="9"/>
        <v>4.6588310690719448E-2</v>
      </c>
      <c r="Q73" s="2">
        <f t="shared" si="7"/>
        <v>33493.902999999933</v>
      </c>
      <c r="R73" s="2"/>
      <c r="S73" s="2"/>
      <c r="T73" s="2"/>
    </row>
    <row r="74" spans="1:34">
      <c r="A74" s="54" t="s">
        <v>240</v>
      </c>
      <c r="B74" s="55" t="s">
        <v>52</v>
      </c>
      <c r="C74" s="54">
        <v>48512.43</v>
      </c>
      <c r="D74" s="54" t="s">
        <v>63</v>
      </c>
      <c r="E74">
        <f t="shared" si="5"/>
        <v>3970.0143845503912</v>
      </c>
      <c r="F74">
        <f t="shared" si="6"/>
        <v>3970</v>
      </c>
      <c r="G74">
        <f t="shared" si="8"/>
        <v>4.4979999998759013E-2</v>
      </c>
      <c r="I74">
        <f>+G74</f>
        <v>4.4979999998759013E-2</v>
      </c>
      <c r="O74">
        <f t="shared" ca="1" si="9"/>
        <v>4.6588310690719448E-2</v>
      </c>
      <c r="Q74" s="2">
        <f t="shared" si="7"/>
        <v>33493.93</v>
      </c>
      <c r="R74" s="2"/>
      <c r="S74" s="2"/>
      <c r="T74" s="2"/>
    </row>
    <row r="75" spans="1:34">
      <c r="A75" t="s">
        <v>36</v>
      </c>
      <c r="C75" s="11">
        <v>48534.365999999922</v>
      </c>
      <c r="D75" s="11" t="s">
        <v>37</v>
      </c>
      <c r="E75">
        <f t="shared" si="5"/>
        <v>3977.0294912064669</v>
      </c>
      <c r="F75">
        <f t="shared" si="6"/>
        <v>3977</v>
      </c>
      <c r="G75">
        <f t="shared" si="8"/>
        <v>9.2217999917920679E-2</v>
      </c>
      <c r="H75">
        <f t="shared" ref="H75:H80" si="10">G75</f>
        <v>9.2217999917920679E-2</v>
      </c>
      <c r="O75">
        <f t="shared" ca="1" si="9"/>
        <v>4.6042536627620867E-2</v>
      </c>
      <c r="Q75" s="2">
        <f t="shared" si="7"/>
        <v>33515.865999999922</v>
      </c>
      <c r="R75" s="2"/>
      <c r="S75" s="2"/>
      <c r="T75" s="2"/>
    </row>
    <row r="76" spans="1:34">
      <c r="A76" t="s">
        <v>36</v>
      </c>
      <c r="C76" s="11">
        <v>48537.39000000013</v>
      </c>
      <c r="D76" s="11" t="s">
        <v>37</v>
      </c>
      <c r="E76">
        <f t="shared" si="5"/>
        <v>3977.9965628024511</v>
      </c>
      <c r="F76">
        <f t="shared" si="6"/>
        <v>3978</v>
      </c>
      <c r="G76">
        <f t="shared" si="8"/>
        <v>-1.074799986963626E-2</v>
      </c>
      <c r="H76">
        <f t="shared" si="10"/>
        <v>-1.074799986963626E-2</v>
      </c>
      <c r="O76">
        <f t="shared" ca="1" si="9"/>
        <v>4.5964568904321101E-2</v>
      </c>
      <c r="Q76" s="2">
        <f t="shared" si="7"/>
        <v>33518.89000000013</v>
      </c>
      <c r="R76" s="2"/>
      <c r="S76" s="2"/>
      <c r="T76" s="2"/>
    </row>
    <row r="77" spans="1:34">
      <c r="A77" t="s">
        <v>36</v>
      </c>
      <c r="C77" s="11">
        <v>48559.299999999814</v>
      </c>
      <c r="D77" s="11" t="s">
        <v>37</v>
      </c>
      <c r="E77">
        <f t="shared" si="5"/>
        <v>3985.0033546894379</v>
      </c>
      <c r="F77">
        <f t="shared" si="6"/>
        <v>3985</v>
      </c>
      <c r="G77">
        <f t="shared" si="8"/>
        <v>1.0489999811397865E-2</v>
      </c>
      <c r="H77">
        <f t="shared" si="10"/>
        <v>1.0489999811397865E-2</v>
      </c>
      <c r="O77">
        <f t="shared" ca="1" si="9"/>
        <v>4.5418794841222521E-2</v>
      </c>
      <c r="Q77" s="2">
        <f t="shared" si="7"/>
        <v>33540.799999999814</v>
      </c>
      <c r="R77" s="2"/>
      <c r="S77" s="2"/>
      <c r="T77" s="2"/>
    </row>
    <row r="78" spans="1:34">
      <c r="A78" t="s">
        <v>36</v>
      </c>
      <c r="C78" s="11">
        <v>48559.35999999987</v>
      </c>
      <c r="D78" s="11" t="s">
        <v>37</v>
      </c>
      <c r="E78">
        <f t="shared" si="5"/>
        <v>3985.0225426179459</v>
      </c>
      <c r="F78">
        <f t="shared" si="6"/>
        <v>3985</v>
      </c>
      <c r="G78">
        <f t="shared" si="8"/>
        <v>7.048999986727722E-2</v>
      </c>
      <c r="H78">
        <f t="shared" si="10"/>
        <v>7.048999986727722E-2</v>
      </c>
      <c r="O78">
        <f t="shared" ca="1" si="9"/>
        <v>4.5418794841222521E-2</v>
      </c>
      <c r="Q78" s="2">
        <f t="shared" si="7"/>
        <v>33540.85999999987</v>
      </c>
      <c r="R78" s="2"/>
      <c r="S78" s="2"/>
      <c r="T78" s="2"/>
    </row>
    <row r="79" spans="1:34">
      <c r="A79" t="s">
        <v>36</v>
      </c>
      <c r="C79" s="11">
        <v>49250.37900000019</v>
      </c>
      <c r="D79" s="11" t="s">
        <v>37</v>
      </c>
      <c r="E79">
        <f t="shared" si="5"/>
        <v>4206.0095952435004</v>
      </c>
      <c r="F79">
        <f t="shared" si="6"/>
        <v>4206</v>
      </c>
      <c r="G79">
        <f t="shared" si="8"/>
        <v>3.0004000189364888E-2</v>
      </c>
      <c r="H79">
        <f t="shared" si="10"/>
        <v>3.0004000189364888E-2</v>
      </c>
      <c r="O79">
        <f t="shared" ca="1" si="9"/>
        <v>2.8187927991967732E-2</v>
      </c>
      <c r="Q79" s="2">
        <f t="shared" si="7"/>
        <v>34231.87900000019</v>
      </c>
      <c r="R79" s="2"/>
      <c r="S79" s="2"/>
      <c r="T79" s="2"/>
    </row>
    <row r="80" spans="1:34">
      <c r="A80" t="s">
        <v>36</v>
      </c>
      <c r="C80" s="11">
        <v>49688.251999999862</v>
      </c>
      <c r="D80" s="11" t="s">
        <v>37</v>
      </c>
      <c r="E80">
        <f t="shared" si="5"/>
        <v>4346.0408587748834</v>
      </c>
      <c r="F80">
        <f t="shared" si="6"/>
        <v>4346</v>
      </c>
      <c r="G80">
        <f t="shared" si="8"/>
        <v>0.1277639998588711</v>
      </c>
      <c r="H80">
        <f t="shared" si="10"/>
        <v>0.1277639998588711</v>
      </c>
      <c r="O80">
        <f t="shared" ca="1" si="9"/>
        <v>1.7272446729996338E-2</v>
      </c>
      <c r="Q80" s="2">
        <f t="shared" si="7"/>
        <v>34669.751999999862</v>
      </c>
      <c r="R80" s="2"/>
      <c r="S80" s="2"/>
      <c r="T80" s="2"/>
    </row>
    <row r="81" spans="1:34">
      <c r="A81" t="s">
        <v>33</v>
      </c>
      <c r="C81" s="32">
        <v>49844.525999999998</v>
      </c>
      <c r="D81" s="11">
        <v>5.0000000000000001E-3</v>
      </c>
      <c r="E81">
        <f t="shared" si="5"/>
        <v>4396.0170977234793</v>
      </c>
      <c r="F81">
        <f t="shared" si="6"/>
        <v>4396</v>
      </c>
      <c r="G81">
        <f t="shared" si="8"/>
        <v>5.3463999996893108E-2</v>
      </c>
      <c r="I81">
        <f>+G81</f>
        <v>5.3463999996893108E-2</v>
      </c>
      <c r="O81">
        <f t="shared" ca="1" si="9"/>
        <v>1.3374060565006562E-2</v>
      </c>
      <c r="Q81" s="2">
        <f t="shared" si="7"/>
        <v>34826.025999999998</v>
      </c>
      <c r="R81" s="2"/>
      <c r="S81" s="2"/>
      <c r="T81" s="2"/>
      <c r="AD81">
        <v>6</v>
      </c>
      <c r="AF81" t="s">
        <v>28</v>
      </c>
      <c r="AH81" t="s">
        <v>30</v>
      </c>
    </row>
    <row r="82" spans="1:34">
      <c r="A82" t="s">
        <v>35</v>
      </c>
      <c r="B82" s="11"/>
      <c r="C82" s="11">
        <v>50360.434399999998</v>
      </c>
      <c r="D82" s="11">
        <v>5.0000000000000001E-4</v>
      </c>
      <c r="E82">
        <f t="shared" si="5"/>
        <v>4561.0039891703318</v>
      </c>
      <c r="F82">
        <f t="shared" si="6"/>
        <v>4561</v>
      </c>
      <c r="G82">
        <f t="shared" si="8"/>
        <v>1.2473999995563645E-2</v>
      </c>
      <c r="J82">
        <f>+G82</f>
        <v>1.2473999995563645E-2</v>
      </c>
      <c r="O82">
        <f t="shared" ca="1" si="9"/>
        <v>5.093862205403088E-4</v>
      </c>
      <c r="Q82" s="2">
        <f t="shared" si="7"/>
        <v>35341.934399999998</v>
      </c>
      <c r="R82" s="2"/>
      <c r="S82" s="2"/>
      <c r="T82" s="2"/>
    </row>
    <row r="83" spans="1:34">
      <c r="A83" t="s">
        <v>35</v>
      </c>
      <c r="B83" s="12"/>
      <c r="C83" s="11">
        <v>50707.525099999999</v>
      </c>
      <c r="D83" s="11">
        <v>1.6000000000000001E-3</v>
      </c>
      <c r="E83">
        <f t="shared" si="5"/>
        <v>4672.0031813585429</v>
      </c>
      <c r="F83">
        <f t="shared" si="6"/>
        <v>4672</v>
      </c>
      <c r="G83">
        <f t="shared" si="8"/>
        <v>9.9479999989853241E-3</v>
      </c>
      <c r="J83">
        <f>+G83</f>
        <v>9.9479999989853241E-3</v>
      </c>
      <c r="O83">
        <f t="shared" ca="1" si="9"/>
        <v>-8.1450310657369962E-3</v>
      </c>
      <c r="Q83" s="2">
        <f t="shared" si="7"/>
        <v>35689.025099999999</v>
      </c>
      <c r="R83" s="2"/>
      <c r="S83" s="2"/>
      <c r="T83" s="2"/>
    </row>
    <row r="84" spans="1:34">
      <c r="A84" t="s">
        <v>34</v>
      </c>
      <c r="C84" s="32">
        <v>50751.345999999998</v>
      </c>
      <c r="D84" s="11">
        <v>8.0000000000000002E-3</v>
      </c>
      <c r="E84">
        <f t="shared" si="5"/>
        <v>4686.0170529516463</v>
      </c>
      <c r="F84">
        <f t="shared" si="6"/>
        <v>4686</v>
      </c>
      <c r="G84">
        <f t="shared" si="8"/>
        <v>5.3324000000429805E-2</v>
      </c>
      <c r="I84">
        <f>+G84</f>
        <v>5.3324000000429805E-2</v>
      </c>
      <c r="O84">
        <f t="shared" ca="1" si="9"/>
        <v>-9.2365791919341578E-3</v>
      </c>
      <c r="Q84" s="2">
        <f t="shared" si="7"/>
        <v>35732.845999999998</v>
      </c>
      <c r="R84" s="2"/>
      <c r="S84" s="2"/>
      <c r="T84" s="2"/>
      <c r="AD84">
        <v>5</v>
      </c>
      <c r="AF84" t="s">
        <v>28</v>
      </c>
      <c r="AH84" t="s">
        <v>30</v>
      </c>
    </row>
    <row r="85" spans="1:34">
      <c r="A85" t="s">
        <v>35</v>
      </c>
      <c r="B85" s="12"/>
      <c r="C85" s="11">
        <v>50904.516499999998</v>
      </c>
      <c r="D85" s="11">
        <v>4.0000000000000002E-4</v>
      </c>
      <c r="E85">
        <f t="shared" ref="E85:E91" si="11">+(C85-C$7)/C$8</f>
        <v>4735.0007962990312</v>
      </c>
      <c r="F85">
        <f t="shared" ref="F85:F92" si="12">ROUND(2*E85,0)/2</f>
        <v>4735</v>
      </c>
      <c r="G85">
        <f t="shared" si="8"/>
        <v>2.4899999989429489E-3</v>
      </c>
      <c r="J85">
        <f>+G85</f>
        <v>2.4899999989429489E-3</v>
      </c>
      <c r="O85">
        <f t="shared" ca="1" si="9"/>
        <v>-1.3056997633624112E-2</v>
      </c>
      <c r="Q85" s="2">
        <f t="shared" ref="Q85:Q91" si="13">+C85-15018.5</f>
        <v>35886.016499999998</v>
      </c>
      <c r="R85" s="2"/>
      <c r="S85" s="2"/>
      <c r="T85" s="2"/>
    </row>
    <row r="86" spans="1:34">
      <c r="A86" s="54" t="s">
        <v>282</v>
      </c>
      <c r="B86" s="55" t="s">
        <v>52</v>
      </c>
      <c r="C86" s="54">
        <v>51167.226999999999</v>
      </c>
      <c r="D86" s="54" t="s">
        <v>63</v>
      </c>
      <c r="E86">
        <f t="shared" si="11"/>
        <v>4819.0153010937747</v>
      </c>
      <c r="F86">
        <f t="shared" si="12"/>
        <v>4819</v>
      </c>
      <c r="G86">
        <f t="shared" si="8"/>
        <v>4.7846000001300126E-2</v>
      </c>
      <c r="I86">
        <f>+G86</f>
        <v>4.7846000001300126E-2</v>
      </c>
      <c r="O86">
        <f t="shared" ca="1" si="9"/>
        <v>-1.9606286390806915E-2</v>
      </c>
      <c r="Q86" s="2">
        <f t="shared" si="13"/>
        <v>36148.726999999999</v>
      </c>
      <c r="R86" s="2"/>
      <c r="S86" s="2"/>
      <c r="T86" s="2"/>
    </row>
    <row r="87" spans="1:34">
      <c r="A87" s="14" t="s">
        <v>38</v>
      </c>
      <c r="B87" s="12"/>
      <c r="C87" s="33">
        <v>51667.489200000004</v>
      </c>
      <c r="D87" s="33">
        <v>8.9999999999999998E-4</v>
      </c>
      <c r="E87">
        <f t="shared" si="11"/>
        <v>4978.9985564281806</v>
      </c>
      <c r="F87">
        <f t="shared" si="12"/>
        <v>4979</v>
      </c>
      <c r="G87">
        <f t="shared" ref="G87:G92" si="14">+C87-(C$7+F87*C$8)</f>
        <v>-4.514000000199303E-3</v>
      </c>
      <c r="J87">
        <f>+G87</f>
        <v>-4.514000000199303E-3</v>
      </c>
      <c r="O87">
        <f t="shared" ca="1" si="9"/>
        <v>-3.208112211877423E-2</v>
      </c>
      <c r="Q87" s="2">
        <f t="shared" si="13"/>
        <v>36648.989200000004</v>
      </c>
      <c r="R87" s="2"/>
      <c r="S87" s="2"/>
      <c r="T87" s="2"/>
    </row>
    <row r="88" spans="1:34">
      <c r="A88" s="14" t="s">
        <v>38</v>
      </c>
      <c r="B88" s="34"/>
      <c r="C88" s="35">
        <v>52039.569900000002</v>
      </c>
      <c r="D88" s="35">
        <v>2.9999999999999997E-4</v>
      </c>
      <c r="E88" s="36">
        <f t="shared" si="11"/>
        <v>5097.9895208326543</v>
      </c>
      <c r="F88">
        <f t="shared" si="12"/>
        <v>5098</v>
      </c>
      <c r="G88">
        <f t="shared" si="14"/>
        <v>-3.2767999997304287E-2</v>
      </c>
      <c r="J88">
        <f>+G88</f>
        <v>-3.2767999997304287E-2</v>
      </c>
      <c r="O88">
        <f t="shared" ca="1" si="9"/>
        <v>-4.1359281191449881E-2</v>
      </c>
      <c r="Q88" s="2">
        <f t="shared" si="13"/>
        <v>37021.069900000002</v>
      </c>
      <c r="R88" s="2"/>
      <c r="S88" s="2"/>
      <c r="T88" s="2"/>
    </row>
    <row r="89" spans="1:34">
      <c r="A89" s="37" t="s">
        <v>39</v>
      </c>
      <c r="B89" s="34"/>
      <c r="C89" s="35">
        <v>52946.355499999998</v>
      </c>
      <c r="D89" s="35">
        <v>4.0000000000000002E-4</v>
      </c>
      <c r="E89" s="36">
        <f t="shared" si="11"/>
        <v>5387.9784749818182</v>
      </c>
      <c r="F89">
        <f t="shared" si="12"/>
        <v>5388</v>
      </c>
      <c r="G89">
        <f t="shared" si="14"/>
        <v>-6.7308000005141366E-2</v>
      </c>
      <c r="J89">
        <f>+G89</f>
        <v>-6.7308000005141366E-2</v>
      </c>
      <c r="O89">
        <f t="shared" ca="1" si="9"/>
        <v>-6.3969920948390602E-2</v>
      </c>
      <c r="Q89" s="2">
        <f t="shared" si="13"/>
        <v>37927.855499999998</v>
      </c>
      <c r="R89" s="2"/>
      <c r="S89" s="2"/>
      <c r="T89" s="2"/>
    </row>
    <row r="90" spans="1:34">
      <c r="A90" s="38" t="s">
        <v>51</v>
      </c>
      <c r="B90" s="39" t="s">
        <v>52</v>
      </c>
      <c r="C90" s="38">
        <v>55685.501700000001</v>
      </c>
      <c r="D90" s="38">
        <v>1.4E-3</v>
      </c>
      <c r="E90" s="36">
        <f t="shared" si="11"/>
        <v>6263.9541651556174</v>
      </c>
      <c r="F90">
        <f t="shared" si="12"/>
        <v>6264</v>
      </c>
      <c r="G90">
        <f t="shared" si="14"/>
        <v>-0.14332399999693735</v>
      </c>
      <c r="J90">
        <f>+G90</f>
        <v>-0.14332399999693735</v>
      </c>
      <c r="O90">
        <f t="shared" ca="1" si="9"/>
        <v>-0.13226964655901147</v>
      </c>
      <c r="Q90" s="2">
        <f t="shared" si="13"/>
        <v>40667.001700000001</v>
      </c>
      <c r="R90" s="2"/>
      <c r="S90" s="2"/>
      <c r="T90" s="2"/>
    </row>
    <row r="91" spans="1:34">
      <c r="A91" s="56" t="s">
        <v>53</v>
      </c>
      <c r="B91" s="57" t="s">
        <v>52</v>
      </c>
      <c r="C91" s="58">
        <v>56007.574489999999</v>
      </c>
      <c r="D91" s="58">
        <v>1E-4</v>
      </c>
      <c r="E91" s="36">
        <f t="shared" si="11"/>
        <v>6366.9526595428279</v>
      </c>
      <c r="F91">
        <f t="shared" si="12"/>
        <v>6367</v>
      </c>
      <c r="G91">
        <f t="shared" si="14"/>
        <v>-0.14803199999732897</v>
      </c>
      <c r="K91">
        <f>+G91</f>
        <v>-0.14803199999732897</v>
      </c>
      <c r="O91">
        <f t="shared" ca="1" si="9"/>
        <v>-0.14030032205889037</v>
      </c>
      <c r="Q91" s="2">
        <f t="shared" si="13"/>
        <v>40989.074489999999</v>
      </c>
      <c r="R91" s="2"/>
      <c r="S91" s="2"/>
      <c r="T91" s="2"/>
    </row>
    <row r="92" spans="1:34">
      <c r="A92" s="59" t="s">
        <v>308</v>
      </c>
      <c r="B92" s="60" t="s">
        <v>52</v>
      </c>
      <c r="C92" s="61">
        <v>57508.502009999997</v>
      </c>
      <c r="D92" s="61">
        <v>1E-4</v>
      </c>
      <c r="E92" s="36">
        <f>+(C92-C$7)/C$8</f>
        <v>6846.9474915940873</v>
      </c>
      <c r="F92">
        <f t="shared" si="12"/>
        <v>6847</v>
      </c>
      <c r="G92">
        <f t="shared" si="14"/>
        <v>-0.16419200000382261</v>
      </c>
      <c r="K92">
        <f>+G92</f>
        <v>-0.16419200000382261</v>
      </c>
      <c r="O92">
        <f ca="1">+C$11+C$12*F92</f>
        <v>-0.1777248292427922</v>
      </c>
      <c r="Q92" s="2">
        <f>+C92-15018.5</f>
        <v>42490.002009999997</v>
      </c>
    </row>
    <row r="93" spans="1:34">
      <c r="B93" s="3"/>
    </row>
    <row r="94" spans="1:34">
      <c r="B94" s="3"/>
    </row>
    <row r="95" spans="1:34">
      <c r="B95" s="3"/>
    </row>
    <row r="96" spans="1:34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</sheetData>
  <phoneticPr fontId="7" type="noConversion"/>
  <hyperlinks>
    <hyperlink ref="H2009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topLeftCell="A30" workbookViewId="0">
      <selection activeCell="A25" sqref="A25:D81"/>
    </sheetView>
  </sheetViews>
  <sheetFormatPr defaultRowHeight="12.75"/>
  <cols>
    <col min="1" max="1" width="19.7109375" style="11" customWidth="1"/>
    <col min="2" max="2" width="4.42578125" style="17" customWidth="1"/>
    <col min="3" max="3" width="12.7109375" style="1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1" t="s">
        <v>55</v>
      </c>
      <c r="I1" s="42" t="s">
        <v>56</v>
      </c>
      <c r="J1" s="43" t="s">
        <v>57</v>
      </c>
    </row>
    <row r="2" spans="1:16">
      <c r="I2" s="44" t="s">
        <v>40</v>
      </c>
      <c r="J2" s="45" t="s">
        <v>58</v>
      </c>
    </row>
    <row r="3" spans="1:16">
      <c r="A3" s="46" t="s">
        <v>59</v>
      </c>
      <c r="I3" s="44" t="s">
        <v>60</v>
      </c>
      <c r="J3" s="45" t="s">
        <v>37</v>
      </c>
    </row>
    <row r="4" spans="1:16">
      <c r="I4" s="44" t="s">
        <v>61</v>
      </c>
      <c r="J4" s="45" t="s">
        <v>37</v>
      </c>
    </row>
    <row r="5" spans="1:16" ht="13.5" thickBot="1">
      <c r="I5" s="47" t="s">
        <v>62</v>
      </c>
      <c r="J5" s="48" t="s">
        <v>63</v>
      </c>
    </row>
    <row r="10" spans="1:16" ht="13.5" thickBot="1"/>
    <row r="11" spans="1:16" ht="12.75" customHeight="1" thickBot="1">
      <c r="A11" s="11" t="str">
        <f t="shared" ref="A11:A42" si="0">P11</f>
        <v> PPAD 125.16 </v>
      </c>
      <c r="B11" s="3" t="str">
        <f t="shared" ref="B11:B42" si="1">IF(H11=INT(H11),"I","II")</f>
        <v>I</v>
      </c>
      <c r="C11" s="11">
        <f t="shared" ref="C11:C42" si="2">1*G11</f>
        <v>36098.33</v>
      </c>
      <c r="D11" s="17" t="str">
        <f t="shared" ref="D11:D42" si="3">VLOOKUP(F11,I$1:J$5,2,FALSE)</f>
        <v>vis</v>
      </c>
      <c r="E11" s="49">
        <f>VLOOKUP(C11,Active!C$21:E$920,3,FALSE)</f>
        <v>0</v>
      </c>
      <c r="F11" s="3" t="s">
        <v>62</v>
      </c>
      <c r="G11" s="17" t="str">
        <f t="shared" ref="G11:G42" si="4">MID(I11,3,LEN(I11)-3)</f>
        <v>36098.33</v>
      </c>
      <c r="H11" s="11">
        <f t="shared" ref="H11:H42" si="5">1*K11</f>
        <v>-5246</v>
      </c>
      <c r="I11" s="50" t="s">
        <v>70</v>
      </c>
      <c r="J11" s="51" t="s">
        <v>71</v>
      </c>
      <c r="K11" s="50">
        <v>-5246</v>
      </c>
      <c r="L11" s="50" t="s">
        <v>72</v>
      </c>
      <c r="M11" s="51" t="s">
        <v>67</v>
      </c>
      <c r="N11" s="51"/>
      <c r="O11" s="52" t="s">
        <v>68</v>
      </c>
      <c r="P11" s="52" t="s">
        <v>69</v>
      </c>
    </row>
    <row r="12" spans="1:16" ht="12.75" customHeight="1" thickBot="1">
      <c r="A12" s="11" t="str">
        <f t="shared" si="0"/>
        <v> BBS 88 </v>
      </c>
      <c r="B12" s="3" t="str">
        <f t="shared" si="1"/>
        <v>I</v>
      </c>
      <c r="C12" s="11">
        <f t="shared" si="2"/>
        <v>47330.438999999998</v>
      </c>
      <c r="D12" s="17" t="str">
        <f t="shared" si="3"/>
        <v>vis</v>
      </c>
      <c r="E12" s="49">
        <f>VLOOKUP(C12,Active!C$21:E$920,3,FALSE)</f>
        <v>3592.0150714782308</v>
      </c>
      <c r="F12" s="3" t="s">
        <v>62</v>
      </c>
      <c r="G12" s="17" t="str">
        <f t="shared" si="4"/>
        <v>47330.439</v>
      </c>
      <c r="H12" s="11">
        <f t="shared" si="5"/>
        <v>-1654</v>
      </c>
      <c r="I12" s="50" t="s">
        <v>214</v>
      </c>
      <c r="J12" s="51" t="s">
        <v>215</v>
      </c>
      <c r="K12" s="50">
        <v>-1654</v>
      </c>
      <c r="L12" s="50" t="s">
        <v>216</v>
      </c>
      <c r="M12" s="51" t="s">
        <v>217</v>
      </c>
      <c r="N12" s="51"/>
      <c r="O12" s="52" t="s">
        <v>218</v>
      </c>
      <c r="P12" s="52" t="s">
        <v>219</v>
      </c>
    </row>
    <row r="13" spans="1:16" ht="12.75" customHeight="1" thickBot="1">
      <c r="A13" s="11" t="str">
        <f t="shared" si="0"/>
        <v> BBS 90 </v>
      </c>
      <c r="B13" s="3" t="str">
        <f t="shared" si="1"/>
        <v>I</v>
      </c>
      <c r="C13" s="11">
        <f t="shared" si="2"/>
        <v>47449.283000000003</v>
      </c>
      <c r="D13" s="17" t="str">
        <f t="shared" si="3"/>
        <v>vis</v>
      </c>
      <c r="E13" s="49">
        <f>VLOOKUP(C13,Active!C$21:E$920,3,FALSE)</f>
        <v>3630.0212410368395</v>
      </c>
      <c r="F13" s="3" t="s">
        <v>62</v>
      </c>
      <c r="G13" s="17" t="str">
        <f t="shared" si="4"/>
        <v>47449.283</v>
      </c>
      <c r="H13" s="11">
        <f t="shared" si="5"/>
        <v>-1616</v>
      </c>
      <c r="I13" s="50" t="s">
        <v>220</v>
      </c>
      <c r="J13" s="51" t="s">
        <v>221</v>
      </c>
      <c r="K13" s="50">
        <v>-1616</v>
      </c>
      <c r="L13" s="50" t="s">
        <v>175</v>
      </c>
      <c r="M13" s="51" t="s">
        <v>217</v>
      </c>
      <c r="N13" s="51"/>
      <c r="O13" s="52" t="s">
        <v>218</v>
      </c>
      <c r="P13" s="52" t="s">
        <v>222</v>
      </c>
    </row>
    <row r="14" spans="1:16" ht="12.75" customHeight="1" thickBot="1">
      <c r="A14" s="11" t="str">
        <f t="shared" si="0"/>
        <v> BBS 92 </v>
      </c>
      <c r="B14" s="3" t="str">
        <f t="shared" si="1"/>
        <v>I</v>
      </c>
      <c r="C14" s="11">
        <f t="shared" si="2"/>
        <v>47746.355000000003</v>
      </c>
      <c r="D14" s="17" t="str">
        <f t="shared" si="3"/>
        <v>vis</v>
      </c>
      <c r="E14" s="49">
        <f>VLOOKUP(C14,Active!C$21:E$920,3,FALSE)</f>
        <v>3725.0245125786473</v>
      </c>
      <c r="F14" s="3" t="s">
        <v>62</v>
      </c>
      <c r="G14" s="17" t="str">
        <f t="shared" si="4"/>
        <v>47746.355</v>
      </c>
      <c r="H14" s="11">
        <f t="shared" si="5"/>
        <v>-1521</v>
      </c>
      <c r="I14" s="50" t="s">
        <v>223</v>
      </c>
      <c r="J14" s="51" t="s">
        <v>224</v>
      </c>
      <c r="K14" s="50">
        <v>-1521</v>
      </c>
      <c r="L14" s="50" t="s">
        <v>225</v>
      </c>
      <c r="M14" s="51" t="s">
        <v>217</v>
      </c>
      <c r="N14" s="51"/>
      <c r="O14" s="52" t="s">
        <v>218</v>
      </c>
      <c r="P14" s="52" t="s">
        <v>226</v>
      </c>
    </row>
    <row r="15" spans="1:16" ht="12.75" customHeight="1" thickBot="1">
      <c r="A15" s="11" t="str">
        <f t="shared" si="0"/>
        <v> BBS 109 </v>
      </c>
      <c r="B15" s="3" t="str">
        <f t="shared" si="1"/>
        <v>I</v>
      </c>
      <c r="C15" s="11">
        <f t="shared" si="2"/>
        <v>49844.525999999998</v>
      </c>
      <c r="D15" s="17" t="str">
        <f t="shared" si="3"/>
        <v>vis</v>
      </c>
      <c r="E15" s="49">
        <f>VLOOKUP(C15,Active!C$21:E$920,3,FALSE)</f>
        <v>4396.0170977234793</v>
      </c>
      <c r="F15" s="3" t="s">
        <v>62</v>
      </c>
      <c r="G15" s="17" t="str">
        <f t="shared" si="4"/>
        <v>49844.526</v>
      </c>
      <c r="H15" s="11">
        <f t="shared" si="5"/>
        <v>-850</v>
      </c>
      <c r="I15" s="50" t="s">
        <v>259</v>
      </c>
      <c r="J15" s="51" t="s">
        <v>260</v>
      </c>
      <c r="K15" s="50">
        <v>-850</v>
      </c>
      <c r="L15" s="50" t="s">
        <v>261</v>
      </c>
      <c r="M15" s="51" t="s">
        <v>217</v>
      </c>
      <c r="N15" s="51"/>
      <c r="O15" s="52" t="s">
        <v>218</v>
      </c>
      <c r="P15" s="52" t="s">
        <v>262</v>
      </c>
    </row>
    <row r="16" spans="1:16" ht="12.75" customHeight="1" thickBot="1">
      <c r="A16" s="11" t="str">
        <f t="shared" si="0"/>
        <v>BAVM 132 </v>
      </c>
      <c r="B16" s="3" t="str">
        <f t="shared" si="1"/>
        <v>I</v>
      </c>
      <c r="C16" s="11">
        <f t="shared" si="2"/>
        <v>50360.434399999998</v>
      </c>
      <c r="D16" s="17" t="str">
        <f t="shared" si="3"/>
        <v>vis</v>
      </c>
      <c r="E16" s="49">
        <f>VLOOKUP(C16,Active!C$21:E$920,3,FALSE)</f>
        <v>4561.0039891703318</v>
      </c>
      <c r="F16" s="3" t="s">
        <v>62</v>
      </c>
      <c r="G16" s="17" t="str">
        <f t="shared" si="4"/>
        <v>50360.4344</v>
      </c>
      <c r="H16" s="11">
        <f t="shared" si="5"/>
        <v>-685</v>
      </c>
      <c r="I16" s="50" t="s">
        <v>263</v>
      </c>
      <c r="J16" s="51" t="s">
        <v>264</v>
      </c>
      <c r="K16" s="50">
        <v>-685</v>
      </c>
      <c r="L16" s="50" t="s">
        <v>265</v>
      </c>
      <c r="M16" s="51" t="s">
        <v>197</v>
      </c>
      <c r="N16" s="51" t="s">
        <v>266</v>
      </c>
      <c r="O16" s="52" t="s">
        <v>267</v>
      </c>
      <c r="P16" s="53" t="s">
        <v>268</v>
      </c>
    </row>
    <row r="17" spans="1:16" ht="12.75" customHeight="1" thickBot="1">
      <c r="A17" s="11" t="str">
        <f t="shared" si="0"/>
        <v>BAVM 132 </v>
      </c>
      <c r="B17" s="3" t="str">
        <f t="shared" si="1"/>
        <v>I</v>
      </c>
      <c r="C17" s="11">
        <f t="shared" si="2"/>
        <v>50707.525099999999</v>
      </c>
      <c r="D17" s="17" t="str">
        <f t="shared" si="3"/>
        <v>vis</v>
      </c>
      <c r="E17" s="49">
        <f>VLOOKUP(C17,Active!C$21:E$920,3,FALSE)</f>
        <v>4672.0031813585429</v>
      </c>
      <c r="F17" s="3" t="s">
        <v>62</v>
      </c>
      <c r="G17" s="17" t="str">
        <f t="shared" si="4"/>
        <v>50707.5251</v>
      </c>
      <c r="H17" s="11">
        <f t="shared" si="5"/>
        <v>-574</v>
      </c>
      <c r="I17" s="50" t="s">
        <v>269</v>
      </c>
      <c r="J17" s="51" t="s">
        <v>270</v>
      </c>
      <c r="K17" s="50">
        <v>-574</v>
      </c>
      <c r="L17" s="50" t="s">
        <v>271</v>
      </c>
      <c r="M17" s="51" t="s">
        <v>197</v>
      </c>
      <c r="N17" s="51" t="s">
        <v>266</v>
      </c>
      <c r="O17" s="52" t="s">
        <v>267</v>
      </c>
      <c r="P17" s="53" t="s">
        <v>268</v>
      </c>
    </row>
    <row r="18" spans="1:16" ht="12.75" customHeight="1" thickBot="1">
      <c r="A18" s="11" t="str">
        <f t="shared" si="0"/>
        <v> BBS 116 </v>
      </c>
      <c r="B18" s="3" t="str">
        <f t="shared" si="1"/>
        <v>I</v>
      </c>
      <c r="C18" s="11">
        <f t="shared" si="2"/>
        <v>50751.345999999998</v>
      </c>
      <c r="D18" s="17" t="str">
        <f t="shared" si="3"/>
        <v>vis</v>
      </c>
      <c r="E18" s="49">
        <f>VLOOKUP(C18,Active!C$21:E$920,3,FALSE)</f>
        <v>4686.0170529516463</v>
      </c>
      <c r="F18" s="3" t="s">
        <v>62</v>
      </c>
      <c r="G18" s="17" t="str">
        <f t="shared" si="4"/>
        <v>50751.346</v>
      </c>
      <c r="H18" s="11">
        <f t="shared" si="5"/>
        <v>-560</v>
      </c>
      <c r="I18" s="50" t="s">
        <v>272</v>
      </c>
      <c r="J18" s="51" t="s">
        <v>273</v>
      </c>
      <c r="K18" s="50">
        <v>-560</v>
      </c>
      <c r="L18" s="50" t="s">
        <v>274</v>
      </c>
      <c r="M18" s="51" t="s">
        <v>217</v>
      </c>
      <c r="N18" s="51"/>
      <c r="O18" s="52" t="s">
        <v>218</v>
      </c>
      <c r="P18" s="52" t="s">
        <v>275</v>
      </c>
    </row>
    <row r="19" spans="1:16" ht="12.75" customHeight="1" thickBot="1">
      <c r="A19" s="11" t="str">
        <f t="shared" si="0"/>
        <v>BAVM 132 </v>
      </c>
      <c r="B19" s="3" t="str">
        <f t="shared" si="1"/>
        <v>I</v>
      </c>
      <c r="C19" s="11">
        <f t="shared" si="2"/>
        <v>50904.516499999998</v>
      </c>
      <c r="D19" s="17" t="str">
        <f t="shared" si="3"/>
        <v>vis</v>
      </c>
      <c r="E19" s="49">
        <f>VLOOKUP(C19,Active!C$21:E$920,3,FALSE)</f>
        <v>4735.0007962990312</v>
      </c>
      <c r="F19" s="3" t="s">
        <v>62</v>
      </c>
      <c r="G19" s="17" t="str">
        <f t="shared" si="4"/>
        <v>50904.5165</v>
      </c>
      <c r="H19" s="11">
        <f t="shared" si="5"/>
        <v>-511</v>
      </c>
      <c r="I19" s="50" t="s">
        <v>276</v>
      </c>
      <c r="J19" s="51" t="s">
        <v>277</v>
      </c>
      <c r="K19" s="50">
        <v>-511</v>
      </c>
      <c r="L19" s="50" t="s">
        <v>278</v>
      </c>
      <c r="M19" s="51" t="s">
        <v>197</v>
      </c>
      <c r="N19" s="51" t="s">
        <v>266</v>
      </c>
      <c r="O19" s="52" t="s">
        <v>267</v>
      </c>
      <c r="P19" s="53" t="s">
        <v>268</v>
      </c>
    </row>
    <row r="20" spans="1:16" ht="12.75" customHeight="1" thickBot="1">
      <c r="A20" s="11" t="str">
        <f t="shared" si="0"/>
        <v>BAVM 152 </v>
      </c>
      <c r="B20" s="3" t="str">
        <f t="shared" si="1"/>
        <v>I</v>
      </c>
      <c r="C20" s="11">
        <f t="shared" si="2"/>
        <v>51667.489200000004</v>
      </c>
      <c r="D20" s="17" t="str">
        <f t="shared" si="3"/>
        <v>vis</v>
      </c>
      <c r="E20" s="49">
        <f>VLOOKUP(C20,Active!C$21:E$920,3,FALSE)</f>
        <v>4978.9985564281806</v>
      </c>
      <c r="F20" s="3" t="s">
        <v>62</v>
      </c>
      <c r="G20" s="17" t="str">
        <f t="shared" si="4"/>
        <v>51667.4892</v>
      </c>
      <c r="H20" s="11">
        <f t="shared" si="5"/>
        <v>-267</v>
      </c>
      <c r="I20" s="50" t="s">
        <v>283</v>
      </c>
      <c r="J20" s="51" t="s">
        <v>284</v>
      </c>
      <c r="K20" s="50">
        <v>-267</v>
      </c>
      <c r="L20" s="50" t="s">
        <v>285</v>
      </c>
      <c r="M20" s="51" t="s">
        <v>197</v>
      </c>
      <c r="N20" s="51" t="s">
        <v>266</v>
      </c>
      <c r="O20" s="52" t="s">
        <v>267</v>
      </c>
      <c r="P20" s="53" t="s">
        <v>286</v>
      </c>
    </row>
    <row r="21" spans="1:16" ht="12.75" customHeight="1" thickBot="1">
      <c r="A21" s="11" t="str">
        <f t="shared" si="0"/>
        <v>BAVM 152 </v>
      </c>
      <c r="B21" s="3" t="str">
        <f t="shared" si="1"/>
        <v>I</v>
      </c>
      <c r="C21" s="11">
        <f t="shared" si="2"/>
        <v>52039.569900000002</v>
      </c>
      <c r="D21" s="17" t="str">
        <f t="shared" si="3"/>
        <v>PE</v>
      </c>
      <c r="E21" s="49">
        <f>VLOOKUP(C21,Active!C$21:E$920,3,FALSE)</f>
        <v>5097.9895208326543</v>
      </c>
      <c r="F21" s="3" t="str">
        <f>LEFT(M21,1)</f>
        <v>E</v>
      </c>
      <c r="G21" s="17" t="str">
        <f t="shared" si="4"/>
        <v>52039.5699</v>
      </c>
      <c r="H21" s="11">
        <f t="shared" si="5"/>
        <v>-148</v>
      </c>
      <c r="I21" s="50" t="s">
        <v>287</v>
      </c>
      <c r="J21" s="51" t="s">
        <v>288</v>
      </c>
      <c r="K21" s="50">
        <v>-148</v>
      </c>
      <c r="L21" s="50" t="s">
        <v>289</v>
      </c>
      <c r="M21" s="51" t="s">
        <v>197</v>
      </c>
      <c r="N21" s="51" t="s">
        <v>266</v>
      </c>
      <c r="O21" s="52" t="s">
        <v>290</v>
      </c>
      <c r="P21" s="53" t="s">
        <v>286</v>
      </c>
    </row>
    <row r="22" spans="1:16" ht="12.75" customHeight="1" thickBot="1">
      <c r="A22" s="11" t="str">
        <f t="shared" si="0"/>
        <v>BAVM 172 </v>
      </c>
      <c r="B22" s="3" t="str">
        <f t="shared" si="1"/>
        <v>I</v>
      </c>
      <c r="C22" s="11">
        <f t="shared" si="2"/>
        <v>52946.355499999998</v>
      </c>
      <c r="D22" s="17" t="str">
        <f t="shared" si="3"/>
        <v>PE</v>
      </c>
      <c r="E22" s="49">
        <f>VLOOKUP(C22,Active!C$21:E$920,3,FALSE)</f>
        <v>5387.9784749818182</v>
      </c>
      <c r="F22" s="3" t="str">
        <f>LEFT(M22,1)</f>
        <v>E</v>
      </c>
      <c r="G22" s="17" t="str">
        <f t="shared" si="4"/>
        <v>52946.3555</v>
      </c>
      <c r="H22" s="11">
        <f t="shared" si="5"/>
        <v>142</v>
      </c>
      <c r="I22" s="50" t="s">
        <v>291</v>
      </c>
      <c r="J22" s="51" t="s">
        <v>292</v>
      </c>
      <c r="K22" s="50">
        <v>142</v>
      </c>
      <c r="L22" s="50" t="s">
        <v>293</v>
      </c>
      <c r="M22" s="51" t="s">
        <v>197</v>
      </c>
      <c r="N22" s="51" t="s">
        <v>266</v>
      </c>
      <c r="O22" s="52" t="s">
        <v>267</v>
      </c>
      <c r="P22" s="53" t="s">
        <v>294</v>
      </c>
    </row>
    <row r="23" spans="1:16" ht="12.75" customHeight="1" thickBot="1">
      <c r="A23" s="11" t="str">
        <f t="shared" si="0"/>
        <v>BAVM 220 </v>
      </c>
      <c r="B23" s="3" t="str">
        <f t="shared" si="1"/>
        <v>I</v>
      </c>
      <c r="C23" s="11">
        <f t="shared" si="2"/>
        <v>55685.501700000001</v>
      </c>
      <c r="D23" s="17" t="str">
        <f t="shared" si="3"/>
        <v>CCD</v>
      </c>
      <c r="E23" s="49">
        <f>VLOOKUP(C23,Active!C$21:E$920,3,FALSE)</f>
        <v>6263.9541651556174</v>
      </c>
      <c r="F23" s="3" t="str">
        <f>LEFT(M23,1)</f>
        <v>C</v>
      </c>
      <c r="G23" s="17" t="str">
        <f t="shared" si="4"/>
        <v>55685.5017</v>
      </c>
      <c r="H23" s="11">
        <f t="shared" si="5"/>
        <v>1018</v>
      </c>
      <c r="I23" s="50" t="s">
        <v>295</v>
      </c>
      <c r="J23" s="51" t="s">
        <v>296</v>
      </c>
      <c r="K23" s="50">
        <v>1018</v>
      </c>
      <c r="L23" s="50" t="s">
        <v>297</v>
      </c>
      <c r="M23" s="51" t="s">
        <v>298</v>
      </c>
      <c r="N23" s="51" t="s">
        <v>299</v>
      </c>
      <c r="O23" s="52" t="s">
        <v>267</v>
      </c>
      <c r="P23" s="53" t="s">
        <v>300</v>
      </c>
    </row>
    <row r="24" spans="1:16" ht="12.75" customHeight="1" thickBot="1">
      <c r="A24" s="11" t="str">
        <f t="shared" si="0"/>
        <v>OEJV 0160 </v>
      </c>
      <c r="B24" s="3" t="str">
        <f t="shared" si="1"/>
        <v>I</v>
      </c>
      <c r="C24" s="11">
        <f t="shared" si="2"/>
        <v>56007.574489999999</v>
      </c>
      <c r="D24" s="17" t="str">
        <f t="shared" si="3"/>
        <v>CCD</v>
      </c>
      <c r="E24" s="49">
        <f>VLOOKUP(C24,Active!C$21:E$920,3,FALSE)</f>
        <v>6366.9526595428279</v>
      </c>
      <c r="F24" s="3" t="str">
        <f>LEFT(M24,1)</f>
        <v>C</v>
      </c>
      <c r="G24" s="17" t="str">
        <f t="shared" si="4"/>
        <v>56007.57449</v>
      </c>
      <c r="H24" s="11">
        <f t="shared" si="5"/>
        <v>1121</v>
      </c>
      <c r="I24" s="50" t="s">
        <v>301</v>
      </c>
      <c r="J24" s="51" t="s">
        <v>302</v>
      </c>
      <c r="K24" s="50" t="s">
        <v>303</v>
      </c>
      <c r="L24" s="50" t="s">
        <v>304</v>
      </c>
      <c r="M24" s="51" t="s">
        <v>298</v>
      </c>
      <c r="N24" s="51" t="s">
        <v>56</v>
      </c>
      <c r="O24" s="52" t="s">
        <v>305</v>
      </c>
      <c r="P24" s="53" t="s">
        <v>306</v>
      </c>
    </row>
    <row r="25" spans="1:16" ht="12.75" customHeight="1" thickBot="1">
      <c r="A25" s="11" t="str">
        <f t="shared" si="0"/>
        <v> PPAD 125.16 </v>
      </c>
      <c r="B25" s="3" t="str">
        <f t="shared" si="1"/>
        <v>I</v>
      </c>
      <c r="C25" s="11">
        <f t="shared" si="2"/>
        <v>36076.370000000003</v>
      </c>
      <c r="D25" s="17" t="str">
        <f t="shared" si="3"/>
        <v>vis</v>
      </c>
      <c r="E25" s="49">
        <f>VLOOKUP(C25,Active!C$21:E$920,3,FALSE)</f>
        <v>-7.0227818274964067</v>
      </c>
      <c r="F25" s="3" t="s">
        <v>62</v>
      </c>
      <c r="G25" s="17" t="str">
        <f t="shared" si="4"/>
        <v>36076.37</v>
      </c>
      <c r="H25" s="11">
        <f t="shared" si="5"/>
        <v>-5253</v>
      </c>
      <c r="I25" s="50" t="s">
        <v>64</v>
      </c>
      <c r="J25" s="51" t="s">
        <v>65</v>
      </c>
      <c r="K25" s="50">
        <v>-5253</v>
      </c>
      <c r="L25" s="50" t="s">
        <v>66</v>
      </c>
      <c r="M25" s="51" t="s">
        <v>67</v>
      </c>
      <c r="N25" s="51"/>
      <c r="O25" s="52" t="s">
        <v>68</v>
      </c>
      <c r="P25" s="52" t="s">
        <v>69</v>
      </c>
    </row>
    <row r="26" spans="1:16" ht="12.75" customHeight="1" thickBot="1">
      <c r="A26" s="11" t="str">
        <f t="shared" si="0"/>
        <v> PPAD 125.16 </v>
      </c>
      <c r="B26" s="3" t="str">
        <f t="shared" si="1"/>
        <v>I</v>
      </c>
      <c r="C26" s="11">
        <f t="shared" si="2"/>
        <v>36192.25</v>
      </c>
      <c r="D26" s="17" t="str">
        <f t="shared" si="3"/>
        <v>vis</v>
      </c>
      <c r="E26" s="49">
        <f>VLOOKUP(C26,Active!C$21:E$920,3,FALSE)</f>
        <v>30.035504063682897</v>
      </c>
      <c r="F26" s="3" t="s">
        <v>62</v>
      </c>
      <c r="G26" s="17" t="str">
        <f t="shared" si="4"/>
        <v>36192.25</v>
      </c>
      <c r="H26" s="11">
        <f t="shared" si="5"/>
        <v>-5216</v>
      </c>
      <c r="I26" s="50" t="s">
        <v>73</v>
      </c>
      <c r="J26" s="51" t="s">
        <v>74</v>
      </c>
      <c r="K26" s="50">
        <v>-5216</v>
      </c>
      <c r="L26" s="50" t="s">
        <v>75</v>
      </c>
      <c r="M26" s="51" t="s">
        <v>67</v>
      </c>
      <c r="N26" s="51"/>
      <c r="O26" s="52" t="s">
        <v>68</v>
      </c>
      <c r="P26" s="52" t="s">
        <v>69</v>
      </c>
    </row>
    <row r="27" spans="1:16" ht="12.75" customHeight="1" thickBot="1">
      <c r="A27" s="11" t="str">
        <f t="shared" si="0"/>
        <v> PPAD 125.16 </v>
      </c>
      <c r="B27" s="3" t="str">
        <f t="shared" si="1"/>
        <v>I</v>
      </c>
      <c r="C27" s="11">
        <f t="shared" si="2"/>
        <v>36220.25</v>
      </c>
      <c r="D27" s="17" t="str">
        <f t="shared" si="3"/>
        <v>vis</v>
      </c>
      <c r="E27" s="49">
        <f>VLOOKUP(C27,Active!C$21:E$920,3,FALSE)</f>
        <v>38.989870692549346</v>
      </c>
      <c r="F27" s="3" t="s">
        <v>62</v>
      </c>
      <c r="G27" s="17" t="str">
        <f t="shared" si="4"/>
        <v>36220.25</v>
      </c>
      <c r="H27" s="11">
        <f t="shared" si="5"/>
        <v>-5207</v>
      </c>
      <c r="I27" s="50" t="s">
        <v>76</v>
      </c>
      <c r="J27" s="51" t="s">
        <v>77</v>
      </c>
      <c r="K27" s="50">
        <v>-5207</v>
      </c>
      <c r="L27" s="50" t="s">
        <v>78</v>
      </c>
      <c r="M27" s="51" t="s">
        <v>67</v>
      </c>
      <c r="N27" s="51"/>
      <c r="O27" s="52" t="s">
        <v>68</v>
      </c>
      <c r="P27" s="52" t="s">
        <v>69</v>
      </c>
    </row>
    <row r="28" spans="1:16" ht="12.75" customHeight="1" thickBot="1">
      <c r="A28" s="11" t="str">
        <f t="shared" si="0"/>
        <v> PPAD 125.16 </v>
      </c>
      <c r="B28" s="3" t="str">
        <f t="shared" si="1"/>
        <v>I</v>
      </c>
      <c r="C28" s="11">
        <f t="shared" si="2"/>
        <v>36370.43</v>
      </c>
      <c r="D28" s="17" t="str">
        <f t="shared" si="3"/>
        <v>vis</v>
      </c>
      <c r="E28" s="49">
        <f>VLOOKUP(C28,Active!C$21:E$920,3,FALSE)</f>
        <v>87.017255704090985</v>
      </c>
      <c r="F28" s="3" t="s">
        <v>62</v>
      </c>
      <c r="G28" s="17" t="str">
        <f t="shared" si="4"/>
        <v>36370.43</v>
      </c>
      <c r="H28" s="11">
        <f t="shared" si="5"/>
        <v>-5159</v>
      </c>
      <c r="I28" s="50" t="s">
        <v>79</v>
      </c>
      <c r="J28" s="51" t="s">
        <v>80</v>
      </c>
      <c r="K28" s="50">
        <v>-5159</v>
      </c>
      <c r="L28" s="50" t="s">
        <v>81</v>
      </c>
      <c r="M28" s="51" t="s">
        <v>67</v>
      </c>
      <c r="N28" s="51"/>
      <c r="O28" s="52" t="s">
        <v>68</v>
      </c>
      <c r="P28" s="52" t="s">
        <v>69</v>
      </c>
    </row>
    <row r="29" spans="1:16" ht="12.75" customHeight="1" thickBot="1">
      <c r="A29" s="11" t="str">
        <f t="shared" si="0"/>
        <v> PPAD 125.16 </v>
      </c>
      <c r="B29" s="3" t="str">
        <f t="shared" si="1"/>
        <v>I</v>
      </c>
      <c r="C29" s="11">
        <f t="shared" si="2"/>
        <v>36492.269999999997</v>
      </c>
      <c r="D29" s="17" t="str">
        <f t="shared" si="3"/>
        <v>vis</v>
      </c>
      <c r="E29" s="49">
        <f>VLOOKUP(C29,Active!C$21:E$920,3,FALSE)</f>
        <v>125.98154249198586</v>
      </c>
      <c r="F29" s="3" t="s">
        <v>62</v>
      </c>
      <c r="G29" s="17" t="str">
        <f t="shared" si="4"/>
        <v>36492.27</v>
      </c>
      <c r="H29" s="11">
        <f t="shared" si="5"/>
        <v>-5120</v>
      </c>
      <c r="I29" s="50" t="s">
        <v>82</v>
      </c>
      <c r="J29" s="51" t="s">
        <v>83</v>
      </c>
      <c r="K29" s="50">
        <v>-5120</v>
      </c>
      <c r="L29" s="50" t="s">
        <v>84</v>
      </c>
      <c r="M29" s="51" t="s">
        <v>67</v>
      </c>
      <c r="N29" s="51"/>
      <c r="O29" s="52" t="s">
        <v>68</v>
      </c>
      <c r="P29" s="52" t="s">
        <v>69</v>
      </c>
    </row>
    <row r="30" spans="1:16" ht="12.75" customHeight="1" thickBot="1">
      <c r="A30" s="11" t="str">
        <f t="shared" si="0"/>
        <v>IBVS 4373 </v>
      </c>
      <c r="B30" s="3" t="str">
        <f t="shared" si="1"/>
        <v>I</v>
      </c>
      <c r="C30" s="11">
        <f t="shared" si="2"/>
        <v>36814.464</v>
      </c>
      <c r="D30" s="17" t="str">
        <f t="shared" si="3"/>
        <v>vis</v>
      </c>
      <c r="E30" s="49" t="e">
        <f>VLOOKUP(C30,Active!C$21:E$920,3,FALSE)</f>
        <v>#N/A</v>
      </c>
      <c r="F30" s="3" t="s">
        <v>62</v>
      </c>
      <c r="G30" s="17" t="str">
        <f t="shared" si="4"/>
        <v>36814.464</v>
      </c>
      <c r="H30" s="11">
        <f t="shared" si="5"/>
        <v>-5017</v>
      </c>
      <c r="I30" s="50" t="s">
        <v>85</v>
      </c>
      <c r="J30" s="51" t="s">
        <v>86</v>
      </c>
      <c r="K30" s="50">
        <v>-5017</v>
      </c>
      <c r="L30" s="50" t="s">
        <v>87</v>
      </c>
      <c r="M30" s="51" t="s">
        <v>67</v>
      </c>
      <c r="N30" s="51"/>
      <c r="O30" s="52" t="s">
        <v>88</v>
      </c>
      <c r="P30" s="53" t="s">
        <v>89</v>
      </c>
    </row>
    <row r="31" spans="1:16" ht="12.75" customHeight="1" thickBot="1">
      <c r="A31" s="11" t="str">
        <f t="shared" si="0"/>
        <v>IBVS 4373 </v>
      </c>
      <c r="B31" s="3" t="str">
        <f t="shared" si="1"/>
        <v>I</v>
      </c>
      <c r="C31" s="11">
        <f t="shared" si="2"/>
        <v>36839.410000000003</v>
      </c>
      <c r="D31" s="17" t="str">
        <f t="shared" si="3"/>
        <v>vis</v>
      </c>
      <c r="E31" s="49" t="e">
        <f>VLOOKUP(C31,Active!C$21:E$920,3,FALSE)</f>
        <v>#N/A</v>
      </c>
      <c r="F31" s="3" t="s">
        <v>62</v>
      </c>
      <c r="G31" s="17" t="str">
        <f t="shared" si="4"/>
        <v>36839.410</v>
      </c>
      <c r="H31" s="11">
        <f t="shared" si="5"/>
        <v>-5009</v>
      </c>
      <c r="I31" s="50" t="s">
        <v>90</v>
      </c>
      <c r="J31" s="51" t="s">
        <v>91</v>
      </c>
      <c r="K31" s="50">
        <v>-5009</v>
      </c>
      <c r="L31" s="50" t="s">
        <v>92</v>
      </c>
      <c r="M31" s="51" t="s">
        <v>67</v>
      </c>
      <c r="N31" s="51"/>
      <c r="O31" s="52" t="s">
        <v>88</v>
      </c>
      <c r="P31" s="53" t="s">
        <v>89</v>
      </c>
    </row>
    <row r="32" spans="1:16" ht="12.75" customHeight="1" thickBot="1">
      <c r="A32" s="11" t="str">
        <f t="shared" si="0"/>
        <v>IBVS 4373 </v>
      </c>
      <c r="B32" s="3" t="str">
        <f t="shared" si="1"/>
        <v>I</v>
      </c>
      <c r="C32" s="11">
        <f t="shared" si="2"/>
        <v>37577.421000000002</v>
      </c>
      <c r="D32" s="17" t="str">
        <f t="shared" si="3"/>
        <v>vis</v>
      </c>
      <c r="E32" s="49" t="e">
        <f>VLOOKUP(C32,Active!C$21:E$920,3,FALSE)</f>
        <v>#N/A</v>
      </c>
      <c r="F32" s="3" t="s">
        <v>62</v>
      </c>
      <c r="G32" s="17" t="str">
        <f t="shared" si="4"/>
        <v>37577.421</v>
      </c>
      <c r="H32" s="11">
        <f t="shared" si="5"/>
        <v>-4773</v>
      </c>
      <c r="I32" s="50" t="s">
        <v>93</v>
      </c>
      <c r="J32" s="51" t="s">
        <v>94</v>
      </c>
      <c r="K32" s="50">
        <v>-4773</v>
      </c>
      <c r="L32" s="50" t="s">
        <v>87</v>
      </c>
      <c r="M32" s="51" t="s">
        <v>67</v>
      </c>
      <c r="N32" s="51"/>
      <c r="O32" s="52" t="s">
        <v>88</v>
      </c>
      <c r="P32" s="53" t="s">
        <v>89</v>
      </c>
    </row>
    <row r="33" spans="1:16" ht="12.75" customHeight="1" thickBot="1">
      <c r="A33" s="11" t="str">
        <f t="shared" si="0"/>
        <v>IBVS 4373 </v>
      </c>
      <c r="B33" s="3" t="str">
        <f t="shared" si="1"/>
        <v>I</v>
      </c>
      <c r="C33" s="11">
        <f t="shared" si="2"/>
        <v>38243.510999999999</v>
      </c>
      <c r="D33" s="17" t="str">
        <f t="shared" si="3"/>
        <v>vis</v>
      </c>
      <c r="E33" s="49" t="e">
        <f>VLOOKUP(C33,Active!C$21:E$920,3,FALSE)</f>
        <v>#N/A</v>
      </c>
      <c r="F33" s="3" t="s">
        <v>62</v>
      </c>
      <c r="G33" s="17" t="str">
        <f t="shared" si="4"/>
        <v>38243.511</v>
      </c>
      <c r="H33" s="11">
        <f t="shared" si="5"/>
        <v>-4560</v>
      </c>
      <c r="I33" s="50" t="s">
        <v>95</v>
      </c>
      <c r="J33" s="51" t="s">
        <v>96</v>
      </c>
      <c r="K33" s="50">
        <v>-4560</v>
      </c>
      <c r="L33" s="50" t="s">
        <v>97</v>
      </c>
      <c r="M33" s="51" t="s">
        <v>67</v>
      </c>
      <c r="N33" s="51"/>
      <c r="O33" s="52" t="s">
        <v>88</v>
      </c>
      <c r="P33" s="53" t="s">
        <v>89</v>
      </c>
    </row>
    <row r="34" spans="1:16" ht="12.75" customHeight="1" thickBot="1">
      <c r="A34" s="11" t="str">
        <f t="shared" si="0"/>
        <v>IBVS 4373 </v>
      </c>
      <c r="B34" s="3" t="str">
        <f t="shared" si="1"/>
        <v>I</v>
      </c>
      <c r="C34" s="11">
        <f t="shared" si="2"/>
        <v>38268.544000000002</v>
      </c>
      <c r="D34" s="17" t="str">
        <f t="shared" si="3"/>
        <v>vis</v>
      </c>
      <c r="E34" s="49" t="e">
        <f>VLOOKUP(C34,Active!C$21:E$920,3,FALSE)</f>
        <v>#N/A</v>
      </c>
      <c r="F34" s="3" t="s">
        <v>62</v>
      </c>
      <c r="G34" s="17" t="str">
        <f t="shared" si="4"/>
        <v>38268.544</v>
      </c>
      <c r="H34" s="11">
        <f t="shared" si="5"/>
        <v>-4552</v>
      </c>
      <c r="I34" s="50" t="s">
        <v>98</v>
      </c>
      <c r="J34" s="51" t="s">
        <v>99</v>
      </c>
      <c r="K34" s="50">
        <v>-4552</v>
      </c>
      <c r="L34" s="50" t="s">
        <v>100</v>
      </c>
      <c r="M34" s="51" t="s">
        <v>67</v>
      </c>
      <c r="N34" s="51"/>
      <c r="O34" s="52" t="s">
        <v>88</v>
      </c>
      <c r="P34" s="53" t="s">
        <v>89</v>
      </c>
    </row>
    <row r="35" spans="1:16" ht="12.75" customHeight="1" thickBot="1">
      <c r="A35" s="11" t="str">
        <f t="shared" si="0"/>
        <v>IBVS 4373 </v>
      </c>
      <c r="B35" s="3" t="str">
        <f t="shared" si="1"/>
        <v>I</v>
      </c>
      <c r="C35" s="11">
        <f t="shared" si="2"/>
        <v>38290.449000000001</v>
      </c>
      <c r="D35" s="17" t="str">
        <f t="shared" si="3"/>
        <v>vis</v>
      </c>
      <c r="E35" s="49" t="e">
        <f>VLOOKUP(C35,Active!C$21:E$920,3,FALSE)</f>
        <v>#N/A</v>
      </c>
      <c r="F35" s="3" t="s">
        <v>62</v>
      </c>
      <c r="G35" s="17" t="str">
        <f t="shared" si="4"/>
        <v>38290.449</v>
      </c>
      <c r="H35" s="11">
        <f t="shared" si="5"/>
        <v>-4545</v>
      </c>
      <c r="I35" s="50" t="s">
        <v>101</v>
      </c>
      <c r="J35" s="51" t="s">
        <v>102</v>
      </c>
      <c r="K35" s="50">
        <v>-4545</v>
      </c>
      <c r="L35" s="50" t="s">
        <v>103</v>
      </c>
      <c r="M35" s="51" t="s">
        <v>67</v>
      </c>
      <c r="N35" s="51"/>
      <c r="O35" s="52" t="s">
        <v>88</v>
      </c>
      <c r="P35" s="53" t="s">
        <v>89</v>
      </c>
    </row>
    <row r="36" spans="1:16" ht="12.75" customHeight="1" thickBot="1">
      <c r="A36" s="11" t="str">
        <f t="shared" si="0"/>
        <v>IBVS 4373 </v>
      </c>
      <c r="B36" s="3" t="str">
        <f t="shared" si="1"/>
        <v>I</v>
      </c>
      <c r="C36" s="11">
        <f t="shared" si="2"/>
        <v>38315.383000000002</v>
      </c>
      <c r="D36" s="17" t="str">
        <f t="shared" si="3"/>
        <v>vis</v>
      </c>
      <c r="E36" s="49" t="e">
        <f>VLOOKUP(C36,Active!C$21:E$920,3,FALSE)</f>
        <v>#N/A</v>
      </c>
      <c r="F36" s="3" t="s">
        <v>62</v>
      </c>
      <c r="G36" s="17" t="str">
        <f t="shared" si="4"/>
        <v>38315.383</v>
      </c>
      <c r="H36" s="11">
        <f t="shared" si="5"/>
        <v>-4537</v>
      </c>
      <c r="I36" s="50" t="s">
        <v>104</v>
      </c>
      <c r="J36" s="51" t="s">
        <v>105</v>
      </c>
      <c r="K36" s="50">
        <v>-4537</v>
      </c>
      <c r="L36" s="50" t="s">
        <v>106</v>
      </c>
      <c r="M36" s="51" t="s">
        <v>67</v>
      </c>
      <c r="N36" s="51"/>
      <c r="O36" s="52" t="s">
        <v>88</v>
      </c>
      <c r="P36" s="53" t="s">
        <v>89</v>
      </c>
    </row>
    <row r="37" spans="1:16" ht="12.75" customHeight="1" thickBot="1">
      <c r="A37" s="11" t="str">
        <f t="shared" si="0"/>
        <v>IBVS 4373 </v>
      </c>
      <c r="B37" s="3" t="str">
        <f t="shared" si="1"/>
        <v>I</v>
      </c>
      <c r="C37" s="11">
        <f t="shared" si="2"/>
        <v>38587.506000000001</v>
      </c>
      <c r="D37" s="17" t="str">
        <f t="shared" si="3"/>
        <v>vis</v>
      </c>
      <c r="E37" s="49" t="e">
        <f>VLOOKUP(C37,Active!C$21:E$920,3,FALSE)</f>
        <v>#N/A</v>
      </c>
      <c r="F37" s="3" t="s">
        <v>62</v>
      </c>
      <c r="G37" s="17" t="str">
        <f t="shared" si="4"/>
        <v>38587.506</v>
      </c>
      <c r="H37" s="11">
        <f t="shared" si="5"/>
        <v>-4450</v>
      </c>
      <c r="I37" s="50" t="s">
        <v>107</v>
      </c>
      <c r="J37" s="51" t="s">
        <v>108</v>
      </c>
      <c r="K37" s="50">
        <v>-4450</v>
      </c>
      <c r="L37" s="50" t="s">
        <v>109</v>
      </c>
      <c r="M37" s="51" t="s">
        <v>67</v>
      </c>
      <c r="N37" s="51"/>
      <c r="O37" s="52" t="s">
        <v>88</v>
      </c>
      <c r="P37" s="53" t="s">
        <v>89</v>
      </c>
    </row>
    <row r="38" spans="1:16" ht="12.75" customHeight="1" thickBot="1">
      <c r="A38" s="11" t="str">
        <f t="shared" si="0"/>
        <v>IBVS 4373 </v>
      </c>
      <c r="B38" s="3" t="str">
        <f t="shared" si="1"/>
        <v>I</v>
      </c>
      <c r="C38" s="11">
        <f t="shared" si="2"/>
        <v>38709.353999999999</v>
      </c>
      <c r="D38" s="17" t="str">
        <f t="shared" si="3"/>
        <v>vis</v>
      </c>
      <c r="E38" s="49" t="e">
        <f>VLOOKUP(C38,Active!C$21:E$920,3,FALSE)</f>
        <v>#N/A</v>
      </c>
      <c r="F38" s="3" t="s">
        <v>62</v>
      </c>
      <c r="G38" s="17" t="str">
        <f t="shared" si="4"/>
        <v>38709.354</v>
      </c>
      <c r="H38" s="11">
        <f t="shared" si="5"/>
        <v>-4411</v>
      </c>
      <c r="I38" s="50" t="s">
        <v>110</v>
      </c>
      <c r="J38" s="51" t="s">
        <v>111</v>
      </c>
      <c r="K38" s="50">
        <v>-4411</v>
      </c>
      <c r="L38" s="50" t="s">
        <v>112</v>
      </c>
      <c r="M38" s="51" t="s">
        <v>67</v>
      </c>
      <c r="N38" s="51"/>
      <c r="O38" s="52" t="s">
        <v>88</v>
      </c>
      <c r="P38" s="53" t="s">
        <v>89</v>
      </c>
    </row>
    <row r="39" spans="1:16" ht="12.75" customHeight="1" thickBot="1">
      <c r="A39" s="11" t="str">
        <f t="shared" si="0"/>
        <v>IBVS 4373 </v>
      </c>
      <c r="B39" s="3" t="str">
        <f t="shared" si="1"/>
        <v>I</v>
      </c>
      <c r="C39" s="11">
        <f t="shared" si="2"/>
        <v>38709.383999999998</v>
      </c>
      <c r="D39" s="17" t="str">
        <f t="shared" si="3"/>
        <v>vis</v>
      </c>
      <c r="E39" s="49" t="e">
        <f>VLOOKUP(C39,Active!C$21:E$920,3,FALSE)</f>
        <v>#N/A</v>
      </c>
      <c r="F39" s="3" t="s">
        <v>62</v>
      </c>
      <c r="G39" s="17" t="str">
        <f t="shared" si="4"/>
        <v>38709.384</v>
      </c>
      <c r="H39" s="11">
        <f t="shared" si="5"/>
        <v>-4411</v>
      </c>
      <c r="I39" s="50" t="s">
        <v>113</v>
      </c>
      <c r="J39" s="51" t="s">
        <v>114</v>
      </c>
      <c r="K39" s="50">
        <v>-4411</v>
      </c>
      <c r="L39" s="50" t="s">
        <v>115</v>
      </c>
      <c r="M39" s="51" t="s">
        <v>67</v>
      </c>
      <c r="N39" s="51"/>
      <c r="O39" s="52" t="s">
        <v>88</v>
      </c>
      <c r="P39" s="53" t="s">
        <v>89</v>
      </c>
    </row>
    <row r="40" spans="1:16" ht="12.75" customHeight="1" thickBot="1">
      <c r="A40" s="11" t="str">
        <f t="shared" si="0"/>
        <v>IBVS 4373 </v>
      </c>
      <c r="B40" s="3" t="str">
        <f t="shared" si="1"/>
        <v>I</v>
      </c>
      <c r="C40" s="11">
        <f t="shared" si="2"/>
        <v>38753.271000000001</v>
      </c>
      <c r="D40" s="17" t="str">
        <f t="shared" si="3"/>
        <v>vis</v>
      </c>
      <c r="E40" s="49" t="e">
        <f>VLOOKUP(C40,Active!C$21:E$920,3,FALSE)</f>
        <v>#N/A</v>
      </c>
      <c r="F40" s="3" t="s">
        <v>62</v>
      </c>
      <c r="G40" s="17" t="str">
        <f t="shared" si="4"/>
        <v>38753.271</v>
      </c>
      <c r="H40" s="11">
        <f t="shared" si="5"/>
        <v>-4397</v>
      </c>
      <c r="I40" s="50" t="s">
        <v>116</v>
      </c>
      <c r="J40" s="51" t="s">
        <v>117</v>
      </c>
      <c r="K40" s="50">
        <v>-4397</v>
      </c>
      <c r="L40" s="50" t="s">
        <v>118</v>
      </c>
      <c r="M40" s="51" t="s">
        <v>67</v>
      </c>
      <c r="N40" s="51"/>
      <c r="O40" s="52" t="s">
        <v>88</v>
      </c>
      <c r="P40" s="53" t="s">
        <v>89</v>
      </c>
    </row>
    <row r="41" spans="1:16" ht="12.75" customHeight="1" thickBot="1">
      <c r="A41" s="11" t="str">
        <f t="shared" si="0"/>
        <v>IBVS 4373 </v>
      </c>
      <c r="B41" s="3" t="str">
        <f t="shared" si="1"/>
        <v>I</v>
      </c>
      <c r="C41" s="11">
        <f t="shared" si="2"/>
        <v>39031.500999999997</v>
      </c>
      <c r="D41" s="17" t="str">
        <f t="shared" si="3"/>
        <v>vis</v>
      </c>
      <c r="E41" s="49" t="e">
        <f>VLOOKUP(C41,Active!C$21:E$920,3,FALSE)</f>
        <v>#N/A</v>
      </c>
      <c r="F41" s="3" t="s">
        <v>62</v>
      </c>
      <c r="G41" s="17" t="str">
        <f t="shared" si="4"/>
        <v>39031.501</v>
      </c>
      <c r="H41" s="11">
        <f t="shared" si="5"/>
        <v>-4308</v>
      </c>
      <c r="I41" s="50" t="s">
        <v>119</v>
      </c>
      <c r="J41" s="51" t="s">
        <v>120</v>
      </c>
      <c r="K41" s="50">
        <v>-4308</v>
      </c>
      <c r="L41" s="50" t="s">
        <v>121</v>
      </c>
      <c r="M41" s="51" t="s">
        <v>67</v>
      </c>
      <c r="N41" s="51"/>
      <c r="O41" s="52" t="s">
        <v>88</v>
      </c>
      <c r="P41" s="53" t="s">
        <v>89</v>
      </c>
    </row>
    <row r="42" spans="1:16" ht="12.75" customHeight="1" thickBot="1">
      <c r="A42" s="11" t="str">
        <f t="shared" si="0"/>
        <v>IBVS 4373 </v>
      </c>
      <c r="B42" s="3" t="str">
        <f t="shared" si="1"/>
        <v>I</v>
      </c>
      <c r="C42" s="11">
        <f t="shared" si="2"/>
        <v>39053.391000000003</v>
      </c>
      <c r="D42" s="17" t="str">
        <f t="shared" si="3"/>
        <v>vis</v>
      </c>
      <c r="E42" s="49" t="e">
        <f>VLOOKUP(C42,Active!C$21:E$920,3,FALSE)</f>
        <v>#N/A</v>
      </c>
      <c r="F42" s="3" t="s">
        <v>62</v>
      </c>
      <c r="G42" s="17" t="str">
        <f t="shared" si="4"/>
        <v>39053.391</v>
      </c>
      <c r="H42" s="11">
        <f t="shared" si="5"/>
        <v>-4301</v>
      </c>
      <c r="I42" s="50" t="s">
        <v>122</v>
      </c>
      <c r="J42" s="51" t="s">
        <v>123</v>
      </c>
      <c r="K42" s="50">
        <v>-4301</v>
      </c>
      <c r="L42" s="50" t="s">
        <v>124</v>
      </c>
      <c r="M42" s="51" t="s">
        <v>67</v>
      </c>
      <c r="N42" s="51"/>
      <c r="O42" s="52" t="s">
        <v>88</v>
      </c>
      <c r="P42" s="53" t="s">
        <v>89</v>
      </c>
    </row>
    <row r="43" spans="1:16" ht="12.75" customHeight="1" thickBot="1">
      <c r="A43" s="11" t="str">
        <f t="shared" ref="A43:A74" si="6">P43</f>
        <v>IBVS 4373 </v>
      </c>
      <c r="B43" s="3" t="str">
        <f t="shared" ref="B43:B74" si="7">IF(H43=INT(H43),"I","II")</f>
        <v>I</v>
      </c>
      <c r="C43" s="11">
        <f t="shared" ref="C43:C74" si="8">1*G43</f>
        <v>39350.521000000001</v>
      </c>
      <c r="D43" s="17" t="str">
        <f t="shared" ref="D43:D74" si="9">VLOOKUP(F43,I$1:J$5,2,FALSE)</f>
        <v>vis</v>
      </c>
      <c r="E43" s="49" t="e">
        <f>VLOOKUP(C43,Active!C$21:E$920,3,FALSE)</f>
        <v>#N/A</v>
      </c>
      <c r="F43" s="3" t="s">
        <v>62</v>
      </c>
      <c r="G43" s="17" t="str">
        <f t="shared" ref="G43:G74" si="10">MID(I43,3,LEN(I43)-3)</f>
        <v>39350.521</v>
      </c>
      <c r="H43" s="11">
        <f t="shared" ref="H43:H74" si="11">1*K43</f>
        <v>-4206</v>
      </c>
      <c r="I43" s="50" t="s">
        <v>125</v>
      </c>
      <c r="J43" s="51" t="s">
        <v>126</v>
      </c>
      <c r="K43" s="50">
        <v>-4206</v>
      </c>
      <c r="L43" s="50" t="s">
        <v>127</v>
      </c>
      <c r="M43" s="51" t="s">
        <v>67</v>
      </c>
      <c r="N43" s="51"/>
      <c r="O43" s="52" t="s">
        <v>88</v>
      </c>
      <c r="P43" s="53" t="s">
        <v>89</v>
      </c>
    </row>
    <row r="44" spans="1:16" ht="12.75" customHeight="1" thickBot="1">
      <c r="A44" s="11" t="str">
        <f t="shared" si="6"/>
        <v>IBVS 4373 </v>
      </c>
      <c r="B44" s="3" t="str">
        <f t="shared" si="7"/>
        <v>I</v>
      </c>
      <c r="C44" s="11">
        <f t="shared" si="8"/>
        <v>39597.569000000003</v>
      </c>
      <c r="D44" s="17" t="str">
        <f t="shared" si="9"/>
        <v>vis</v>
      </c>
      <c r="E44" s="49" t="e">
        <f>VLOOKUP(C44,Active!C$21:E$920,3,FALSE)</f>
        <v>#N/A</v>
      </c>
      <c r="F44" s="3" t="s">
        <v>62</v>
      </c>
      <c r="G44" s="17" t="str">
        <f t="shared" si="10"/>
        <v>39597.569</v>
      </c>
      <c r="H44" s="11">
        <f t="shared" si="11"/>
        <v>-4127</v>
      </c>
      <c r="I44" s="50" t="s">
        <v>128</v>
      </c>
      <c r="J44" s="51" t="s">
        <v>129</v>
      </c>
      <c r="K44" s="50">
        <v>-4127</v>
      </c>
      <c r="L44" s="50" t="s">
        <v>130</v>
      </c>
      <c r="M44" s="51" t="s">
        <v>67</v>
      </c>
      <c r="N44" s="51"/>
      <c r="O44" s="52" t="s">
        <v>88</v>
      </c>
      <c r="P44" s="53" t="s">
        <v>89</v>
      </c>
    </row>
    <row r="45" spans="1:16" ht="12.75" customHeight="1" thickBot="1">
      <c r="A45" s="11" t="str">
        <f t="shared" si="6"/>
        <v>IBVS 4373 </v>
      </c>
      <c r="B45" s="3" t="str">
        <f t="shared" si="7"/>
        <v>I</v>
      </c>
      <c r="C45" s="11">
        <f t="shared" si="8"/>
        <v>39672.498</v>
      </c>
      <c r="D45" s="17" t="str">
        <f t="shared" si="9"/>
        <v>vis</v>
      </c>
      <c r="E45" s="49" t="e">
        <f>VLOOKUP(C45,Active!C$21:E$920,3,FALSE)</f>
        <v>#N/A</v>
      </c>
      <c r="F45" s="3" t="s">
        <v>62</v>
      </c>
      <c r="G45" s="17" t="str">
        <f t="shared" si="10"/>
        <v>39672.498</v>
      </c>
      <c r="H45" s="11">
        <f t="shared" si="11"/>
        <v>-4103</v>
      </c>
      <c r="I45" s="50" t="s">
        <v>131</v>
      </c>
      <c r="J45" s="51" t="s">
        <v>132</v>
      </c>
      <c r="K45" s="50">
        <v>-4103</v>
      </c>
      <c r="L45" s="50" t="s">
        <v>133</v>
      </c>
      <c r="M45" s="51" t="s">
        <v>67</v>
      </c>
      <c r="N45" s="51"/>
      <c r="O45" s="52" t="s">
        <v>88</v>
      </c>
      <c r="P45" s="53" t="s">
        <v>89</v>
      </c>
    </row>
    <row r="46" spans="1:16" ht="12.75" customHeight="1" thickBot="1">
      <c r="A46" s="11" t="str">
        <f t="shared" si="6"/>
        <v>IBVS 4373 </v>
      </c>
      <c r="B46" s="3" t="str">
        <f t="shared" si="7"/>
        <v>I</v>
      </c>
      <c r="C46" s="11">
        <f t="shared" si="8"/>
        <v>40066.508000000002</v>
      </c>
      <c r="D46" s="17" t="str">
        <f t="shared" si="9"/>
        <v>vis</v>
      </c>
      <c r="E46" s="49" t="e">
        <f>VLOOKUP(C46,Active!C$21:E$920,3,FALSE)</f>
        <v>#N/A</v>
      </c>
      <c r="F46" s="3" t="s">
        <v>62</v>
      </c>
      <c r="G46" s="17" t="str">
        <f t="shared" si="10"/>
        <v>40066.508</v>
      </c>
      <c r="H46" s="11">
        <f t="shared" si="11"/>
        <v>-3977</v>
      </c>
      <c r="I46" s="50" t="s">
        <v>134</v>
      </c>
      <c r="J46" s="51" t="s">
        <v>135</v>
      </c>
      <c r="K46" s="50">
        <v>-3977</v>
      </c>
      <c r="L46" s="50" t="s">
        <v>136</v>
      </c>
      <c r="M46" s="51" t="s">
        <v>67</v>
      </c>
      <c r="N46" s="51"/>
      <c r="O46" s="52" t="s">
        <v>88</v>
      </c>
      <c r="P46" s="53" t="s">
        <v>89</v>
      </c>
    </row>
    <row r="47" spans="1:16" ht="12.75" customHeight="1" thickBot="1">
      <c r="A47" s="11" t="str">
        <f t="shared" si="6"/>
        <v>IBVS 4373 </v>
      </c>
      <c r="B47" s="3" t="str">
        <f t="shared" si="7"/>
        <v>I</v>
      </c>
      <c r="C47" s="11">
        <f t="shared" si="8"/>
        <v>40088.43</v>
      </c>
      <c r="D47" s="17" t="str">
        <f t="shared" si="9"/>
        <v>vis</v>
      </c>
      <c r="E47" s="49" t="e">
        <f>VLOOKUP(C47,Active!C$21:E$920,3,FALSE)</f>
        <v>#N/A</v>
      </c>
      <c r="F47" s="3" t="s">
        <v>62</v>
      </c>
      <c r="G47" s="17" t="str">
        <f t="shared" si="10"/>
        <v>40088.430</v>
      </c>
      <c r="H47" s="11">
        <f t="shared" si="11"/>
        <v>-3970</v>
      </c>
      <c r="I47" s="50" t="s">
        <v>137</v>
      </c>
      <c r="J47" s="51" t="s">
        <v>138</v>
      </c>
      <c r="K47" s="50">
        <v>-3970</v>
      </c>
      <c r="L47" s="50" t="s">
        <v>139</v>
      </c>
      <c r="M47" s="51" t="s">
        <v>67</v>
      </c>
      <c r="N47" s="51"/>
      <c r="O47" s="52" t="s">
        <v>88</v>
      </c>
      <c r="P47" s="53" t="s">
        <v>89</v>
      </c>
    </row>
    <row r="48" spans="1:16" ht="12.75" customHeight="1" thickBot="1">
      <c r="A48" s="11" t="str">
        <f t="shared" si="6"/>
        <v>IBVS 4373 </v>
      </c>
      <c r="B48" s="3" t="str">
        <f t="shared" si="7"/>
        <v>I</v>
      </c>
      <c r="C48" s="11">
        <f t="shared" si="8"/>
        <v>40457.487999999998</v>
      </c>
      <c r="D48" s="17" t="str">
        <f t="shared" si="9"/>
        <v>vis</v>
      </c>
      <c r="E48" s="49" t="e">
        <f>VLOOKUP(C48,Active!C$21:E$920,3,FALSE)</f>
        <v>#N/A</v>
      </c>
      <c r="F48" s="3" t="s">
        <v>62</v>
      </c>
      <c r="G48" s="17" t="str">
        <f t="shared" si="10"/>
        <v>40457.488</v>
      </c>
      <c r="H48" s="11">
        <f t="shared" si="11"/>
        <v>-3852</v>
      </c>
      <c r="I48" s="50" t="s">
        <v>140</v>
      </c>
      <c r="J48" s="51" t="s">
        <v>141</v>
      </c>
      <c r="K48" s="50">
        <v>-3852</v>
      </c>
      <c r="L48" s="50" t="s">
        <v>142</v>
      </c>
      <c r="M48" s="51" t="s">
        <v>67</v>
      </c>
      <c r="N48" s="51"/>
      <c r="O48" s="52" t="s">
        <v>88</v>
      </c>
      <c r="P48" s="53" t="s">
        <v>89</v>
      </c>
    </row>
    <row r="49" spans="1:16" ht="12.75" customHeight="1" thickBot="1">
      <c r="A49" s="11" t="str">
        <f t="shared" si="6"/>
        <v>IBVS 4373 </v>
      </c>
      <c r="B49" s="3" t="str">
        <f t="shared" si="7"/>
        <v>I</v>
      </c>
      <c r="C49" s="11">
        <f t="shared" si="8"/>
        <v>40504.398000000001</v>
      </c>
      <c r="D49" s="17" t="str">
        <f t="shared" si="9"/>
        <v>vis</v>
      </c>
      <c r="E49" s="49" t="e">
        <f>VLOOKUP(C49,Active!C$21:E$920,3,FALSE)</f>
        <v>#N/A</v>
      </c>
      <c r="F49" s="3" t="s">
        <v>62</v>
      </c>
      <c r="G49" s="17" t="str">
        <f t="shared" si="10"/>
        <v>40504.398</v>
      </c>
      <c r="H49" s="11">
        <f t="shared" si="11"/>
        <v>-3837</v>
      </c>
      <c r="I49" s="50" t="s">
        <v>143</v>
      </c>
      <c r="J49" s="51" t="s">
        <v>144</v>
      </c>
      <c r="K49" s="50">
        <v>-3837</v>
      </c>
      <c r="L49" s="50" t="s">
        <v>145</v>
      </c>
      <c r="M49" s="51" t="s">
        <v>67</v>
      </c>
      <c r="N49" s="51"/>
      <c r="O49" s="52" t="s">
        <v>88</v>
      </c>
      <c r="P49" s="53" t="s">
        <v>89</v>
      </c>
    </row>
    <row r="50" spans="1:16" ht="12.75" customHeight="1" thickBot="1">
      <c r="A50" s="11" t="str">
        <f t="shared" si="6"/>
        <v>IBVS 4373 </v>
      </c>
      <c r="B50" s="3" t="str">
        <f t="shared" si="7"/>
        <v>I</v>
      </c>
      <c r="C50" s="11">
        <f t="shared" si="8"/>
        <v>40504.428</v>
      </c>
      <c r="D50" s="17" t="str">
        <f t="shared" si="9"/>
        <v>vis</v>
      </c>
      <c r="E50" s="49" t="e">
        <f>VLOOKUP(C50,Active!C$21:E$920,3,FALSE)</f>
        <v>#N/A</v>
      </c>
      <c r="F50" s="3" t="s">
        <v>62</v>
      </c>
      <c r="G50" s="17" t="str">
        <f t="shared" si="10"/>
        <v>40504.428</v>
      </c>
      <c r="H50" s="11">
        <f t="shared" si="11"/>
        <v>-3837</v>
      </c>
      <c r="I50" s="50" t="s">
        <v>146</v>
      </c>
      <c r="J50" s="51" t="s">
        <v>147</v>
      </c>
      <c r="K50" s="50">
        <v>-3837</v>
      </c>
      <c r="L50" s="50" t="s">
        <v>148</v>
      </c>
      <c r="M50" s="51" t="s">
        <v>67</v>
      </c>
      <c r="N50" s="51"/>
      <c r="O50" s="52" t="s">
        <v>88</v>
      </c>
      <c r="P50" s="53" t="s">
        <v>89</v>
      </c>
    </row>
    <row r="51" spans="1:16" ht="12.75" customHeight="1" thickBot="1">
      <c r="A51" s="11" t="str">
        <f t="shared" si="6"/>
        <v>IBVS 4373 </v>
      </c>
      <c r="B51" s="3" t="str">
        <f t="shared" si="7"/>
        <v>I</v>
      </c>
      <c r="C51" s="11">
        <f t="shared" si="8"/>
        <v>40507.413</v>
      </c>
      <c r="D51" s="17" t="str">
        <f t="shared" si="9"/>
        <v>vis</v>
      </c>
      <c r="E51" s="49" t="e">
        <f>VLOOKUP(C51,Active!C$21:E$920,3,FALSE)</f>
        <v>#N/A</v>
      </c>
      <c r="F51" s="3" t="s">
        <v>62</v>
      </c>
      <c r="G51" s="17" t="str">
        <f t="shared" si="10"/>
        <v>40507.413</v>
      </c>
      <c r="H51" s="11">
        <f t="shared" si="11"/>
        <v>-3836</v>
      </c>
      <c r="I51" s="50" t="s">
        <v>149</v>
      </c>
      <c r="J51" s="51" t="s">
        <v>150</v>
      </c>
      <c r="K51" s="50">
        <v>-3836</v>
      </c>
      <c r="L51" s="50" t="s">
        <v>151</v>
      </c>
      <c r="M51" s="51" t="s">
        <v>67</v>
      </c>
      <c r="N51" s="51"/>
      <c r="O51" s="52" t="s">
        <v>88</v>
      </c>
      <c r="P51" s="53" t="s">
        <v>89</v>
      </c>
    </row>
    <row r="52" spans="1:16" ht="12.75" customHeight="1" thickBot="1">
      <c r="A52" s="11" t="str">
        <f t="shared" si="6"/>
        <v>IBVS 4373 </v>
      </c>
      <c r="B52" s="3" t="str">
        <f t="shared" si="7"/>
        <v>I</v>
      </c>
      <c r="C52" s="11">
        <f t="shared" si="8"/>
        <v>41517.478999999999</v>
      </c>
      <c r="D52" s="17" t="str">
        <f t="shared" si="9"/>
        <v>vis</v>
      </c>
      <c r="E52" s="49" t="e">
        <f>VLOOKUP(C52,Active!C$21:E$920,3,FALSE)</f>
        <v>#N/A</v>
      </c>
      <c r="F52" s="3" t="s">
        <v>62</v>
      </c>
      <c r="G52" s="17" t="str">
        <f t="shared" si="10"/>
        <v>41517.479</v>
      </c>
      <c r="H52" s="11">
        <f t="shared" si="11"/>
        <v>-3513</v>
      </c>
      <c r="I52" s="50" t="s">
        <v>152</v>
      </c>
      <c r="J52" s="51" t="s">
        <v>153</v>
      </c>
      <c r="K52" s="50">
        <v>-3513</v>
      </c>
      <c r="L52" s="50" t="s">
        <v>154</v>
      </c>
      <c r="M52" s="51" t="s">
        <v>67</v>
      </c>
      <c r="N52" s="51"/>
      <c r="O52" s="52" t="s">
        <v>88</v>
      </c>
      <c r="P52" s="53" t="s">
        <v>89</v>
      </c>
    </row>
    <row r="53" spans="1:16" ht="12.75" customHeight="1" thickBot="1">
      <c r="A53" s="11" t="str">
        <f t="shared" si="6"/>
        <v>IBVS 4373 </v>
      </c>
      <c r="B53" s="3" t="str">
        <f t="shared" si="7"/>
        <v>I</v>
      </c>
      <c r="C53" s="11">
        <f t="shared" si="8"/>
        <v>41567.451000000001</v>
      </c>
      <c r="D53" s="17" t="str">
        <f t="shared" si="9"/>
        <v>vis</v>
      </c>
      <c r="E53" s="49" t="e">
        <f>VLOOKUP(C53,Active!C$21:E$920,3,FALSE)</f>
        <v>#N/A</v>
      </c>
      <c r="F53" s="3" t="s">
        <v>62</v>
      </c>
      <c r="G53" s="17" t="str">
        <f t="shared" si="10"/>
        <v>41567.451</v>
      </c>
      <c r="H53" s="11">
        <f t="shared" si="11"/>
        <v>-3497</v>
      </c>
      <c r="I53" s="50" t="s">
        <v>155</v>
      </c>
      <c r="J53" s="51" t="s">
        <v>156</v>
      </c>
      <c r="K53" s="50">
        <v>-3497</v>
      </c>
      <c r="L53" s="50" t="s">
        <v>157</v>
      </c>
      <c r="M53" s="51" t="s">
        <v>67</v>
      </c>
      <c r="N53" s="51"/>
      <c r="O53" s="52" t="s">
        <v>88</v>
      </c>
      <c r="P53" s="53" t="s">
        <v>89</v>
      </c>
    </row>
    <row r="54" spans="1:16" ht="12.75" customHeight="1" thickBot="1">
      <c r="A54" s="11" t="str">
        <f t="shared" si="6"/>
        <v>IBVS 4373 </v>
      </c>
      <c r="B54" s="3" t="str">
        <f t="shared" si="7"/>
        <v>I</v>
      </c>
      <c r="C54" s="11">
        <f t="shared" si="8"/>
        <v>41983.345000000001</v>
      </c>
      <c r="D54" s="17" t="str">
        <f t="shared" si="9"/>
        <v>vis</v>
      </c>
      <c r="E54" s="49" t="e">
        <f>VLOOKUP(C54,Active!C$21:E$920,3,FALSE)</f>
        <v>#N/A</v>
      </c>
      <c r="F54" s="3" t="s">
        <v>62</v>
      </c>
      <c r="G54" s="17" t="str">
        <f t="shared" si="10"/>
        <v>41983.345</v>
      </c>
      <c r="H54" s="11">
        <f t="shared" si="11"/>
        <v>-3364</v>
      </c>
      <c r="I54" s="50" t="s">
        <v>158</v>
      </c>
      <c r="J54" s="51" t="s">
        <v>159</v>
      </c>
      <c r="K54" s="50">
        <v>-3364</v>
      </c>
      <c r="L54" s="50" t="s">
        <v>160</v>
      </c>
      <c r="M54" s="51" t="s">
        <v>67</v>
      </c>
      <c r="N54" s="51"/>
      <c r="O54" s="52" t="s">
        <v>88</v>
      </c>
      <c r="P54" s="53" t="s">
        <v>89</v>
      </c>
    </row>
    <row r="55" spans="1:16" ht="12.75" customHeight="1" thickBot="1">
      <c r="A55" s="11" t="str">
        <f t="shared" si="6"/>
        <v>IBVS 4373 </v>
      </c>
      <c r="B55" s="3" t="str">
        <f t="shared" si="7"/>
        <v>I</v>
      </c>
      <c r="C55" s="11">
        <f t="shared" si="8"/>
        <v>42602.497000000003</v>
      </c>
      <c r="D55" s="17" t="str">
        <f t="shared" si="9"/>
        <v>vis</v>
      </c>
      <c r="E55" s="49" t="e">
        <f>VLOOKUP(C55,Active!C$21:E$920,3,FALSE)</f>
        <v>#N/A</v>
      </c>
      <c r="F55" s="3" t="s">
        <v>62</v>
      </c>
      <c r="G55" s="17" t="str">
        <f t="shared" si="10"/>
        <v>42602.497</v>
      </c>
      <c r="H55" s="11">
        <f t="shared" si="11"/>
        <v>-3166</v>
      </c>
      <c r="I55" s="50" t="s">
        <v>161</v>
      </c>
      <c r="J55" s="51" t="s">
        <v>162</v>
      </c>
      <c r="K55" s="50">
        <v>-3166</v>
      </c>
      <c r="L55" s="50" t="s">
        <v>163</v>
      </c>
      <c r="M55" s="51" t="s">
        <v>67</v>
      </c>
      <c r="N55" s="51"/>
      <c r="O55" s="52" t="s">
        <v>88</v>
      </c>
      <c r="P55" s="53" t="s">
        <v>89</v>
      </c>
    </row>
    <row r="56" spans="1:16" ht="12.75" customHeight="1" thickBot="1">
      <c r="A56" s="11" t="str">
        <f t="shared" si="6"/>
        <v>IBVS 4373 </v>
      </c>
      <c r="B56" s="3" t="str">
        <f t="shared" si="7"/>
        <v>I</v>
      </c>
      <c r="C56" s="11">
        <f t="shared" si="8"/>
        <v>42627.483</v>
      </c>
      <c r="D56" s="17" t="str">
        <f t="shared" si="9"/>
        <v>vis</v>
      </c>
      <c r="E56" s="49" t="e">
        <f>VLOOKUP(C56,Active!C$21:E$920,3,FALSE)</f>
        <v>#N/A</v>
      </c>
      <c r="F56" s="3" t="s">
        <v>62</v>
      </c>
      <c r="G56" s="17" t="str">
        <f t="shared" si="10"/>
        <v>42627.483</v>
      </c>
      <c r="H56" s="11">
        <f t="shared" si="11"/>
        <v>-3158</v>
      </c>
      <c r="I56" s="50" t="s">
        <v>164</v>
      </c>
      <c r="J56" s="51" t="s">
        <v>165</v>
      </c>
      <c r="K56" s="50">
        <v>-3158</v>
      </c>
      <c r="L56" s="50" t="s">
        <v>166</v>
      </c>
      <c r="M56" s="51" t="s">
        <v>67</v>
      </c>
      <c r="N56" s="51"/>
      <c r="O56" s="52" t="s">
        <v>88</v>
      </c>
      <c r="P56" s="53" t="s">
        <v>89</v>
      </c>
    </row>
    <row r="57" spans="1:16" ht="12.75" customHeight="1" thickBot="1">
      <c r="A57" s="11" t="str">
        <f t="shared" si="6"/>
        <v>IBVS 4373 </v>
      </c>
      <c r="B57" s="3" t="str">
        <f t="shared" si="7"/>
        <v>I</v>
      </c>
      <c r="C57" s="11">
        <f t="shared" si="8"/>
        <v>43340.472000000002</v>
      </c>
      <c r="D57" s="17" t="str">
        <f t="shared" si="9"/>
        <v>vis</v>
      </c>
      <c r="E57" s="49" t="e">
        <f>VLOOKUP(C57,Active!C$21:E$920,3,FALSE)</f>
        <v>#N/A</v>
      </c>
      <c r="F57" s="3" t="s">
        <v>62</v>
      </c>
      <c r="G57" s="17" t="str">
        <f t="shared" si="10"/>
        <v>43340.472</v>
      </c>
      <c r="H57" s="11">
        <f t="shared" si="11"/>
        <v>-2930</v>
      </c>
      <c r="I57" s="50" t="s">
        <v>167</v>
      </c>
      <c r="J57" s="51" t="s">
        <v>168</v>
      </c>
      <c r="K57" s="50">
        <v>-2930</v>
      </c>
      <c r="L57" s="50" t="s">
        <v>169</v>
      </c>
      <c r="M57" s="51" t="s">
        <v>67</v>
      </c>
      <c r="N57" s="51"/>
      <c r="O57" s="52" t="s">
        <v>88</v>
      </c>
      <c r="P57" s="53" t="s">
        <v>89</v>
      </c>
    </row>
    <row r="58" spans="1:16" ht="12.75" customHeight="1" thickBot="1">
      <c r="A58" s="11" t="str">
        <f t="shared" si="6"/>
        <v>IBVS 4373 </v>
      </c>
      <c r="B58" s="3" t="str">
        <f t="shared" si="7"/>
        <v>I</v>
      </c>
      <c r="C58" s="11">
        <f t="shared" si="8"/>
        <v>44172.260999999999</v>
      </c>
      <c r="D58" s="17" t="str">
        <f t="shared" si="9"/>
        <v>vis</v>
      </c>
      <c r="E58" s="49" t="e">
        <f>VLOOKUP(C58,Active!C$21:E$920,3,FALSE)</f>
        <v>#N/A</v>
      </c>
      <c r="F58" s="3" t="s">
        <v>62</v>
      </c>
      <c r="G58" s="17" t="str">
        <f t="shared" si="10"/>
        <v>44172.261</v>
      </c>
      <c r="H58" s="11">
        <f t="shared" si="11"/>
        <v>-2664</v>
      </c>
      <c r="I58" s="50" t="s">
        <v>170</v>
      </c>
      <c r="J58" s="51" t="s">
        <v>171</v>
      </c>
      <c r="K58" s="50">
        <v>-2664</v>
      </c>
      <c r="L58" s="50" t="s">
        <v>172</v>
      </c>
      <c r="M58" s="51" t="s">
        <v>67</v>
      </c>
      <c r="N58" s="51"/>
      <c r="O58" s="52" t="s">
        <v>88</v>
      </c>
      <c r="P58" s="53" t="s">
        <v>89</v>
      </c>
    </row>
    <row r="59" spans="1:16" ht="12.75" customHeight="1" thickBot="1">
      <c r="A59" s="11" t="str">
        <f t="shared" si="6"/>
        <v>IBVS 4373 </v>
      </c>
      <c r="B59" s="3" t="str">
        <f t="shared" si="7"/>
        <v>I</v>
      </c>
      <c r="C59" s="11">
        <f t="shared" si="8"/>
        <v>44541.292999999998</v>
      </c>
      <c r="D59" s="17" t="str">
        <f t="shared" si="9"/>
        <v>vis</v>
      </c>
      <c r="E59" s="49" t="e">
        <f>VLOOKUP(C59,Active!C$21:E$920,3,FALSE)</f>
        <v>#N/A</v>
      </c>
      <c r="F59" s="3" t="s">
        <v>62</v>
      </c>
      <c r="G59" s="17" t="str">
        <f t="shared" si="10"/>
        <v>44541.293</v>
      </c>
      <c r="H59" s="11">
        <f t="shared" si="11"/>
        <v>-2546</v>
      </c>
      <c r="I59" s="50" t="s">
        <v>173</v>
      </c>
      <c r="J59" s="51" t="s">
        <v>174</v>
      </c>
      <c r="K59" s="50">
        <v>-2546</v>
      </c>
      <c r="L59" s="50" t="s">
        <v>175</v>
      </c>
      <c r="M59" s="51" t="s">
        <v>67</v>
      </c>
      <c r="N59" s="51"/>
      <c r="O59" s="52" t="s">
        <v>88</v>
      </c>
      <c r="P59" s="53" t="s">
        <v>89</v>
      </c>
    </row>
    <row r="60" spans="1:16" ht="12.75" customHeight="1" thickBot="1">
      <c r="A60" s="11" t="str">
        <f t="shared" si="6"/>
        <v>IBVS 4373 </v>
      </c>
      <c r="B60" s="3" t="str">
        <f t="shared" si="7"/>
        <v>I</v>
      </c>
      <c r="C60" s="11">
        <f t="shared" si="8"/>
        <v>44816.464</v>
      </c>
      <c r="D60" s="17" t="str">
        <f t="shared" si="9"/>
        <v>vis</v>
      </c>
      <c r="E60" s="49" t="e">
        <f>VLOOKUP(C60,Active!C$21:E$920,3,FALSE)</f>
        <v>#N/A</v>
      </c>
      <c r="F60" s="3" t="s">
        <v>62</v>
      </c>
      <c r="G60" s="17" t="str">
        <f t="shared" si="10"/>
        <v>44816.464</v>
      </c>
      <c r="H60" s="11">
        <f t="shared" si="11"/>
        <v>-2458</v>
      </c>
      <c r="I60" s="50" t="s">
        <v>176</v>
      </c>
      <c r="J60" s="51" t="s">
        <v>177</v>
      </c>
      <c r="K60" s="50">
        <v>-2458</v>
      </c>
      <c r="L60" s="50" t="s">
        <v>178</v>
      </c>
      <c r="M60" s="51" t="s">
        <v>67</v>
      </c>
      <c r="N60" s="51"/>
      <c r="O60" s="52" t="s">
        <v>88</v>
      </c>
      <c r="P60" s="53" t="s">
        <v>89</v>
      </c>
    </row>
    <row r="61" spans="1:16" ht="12.75" customHeight="1" thickBot="1">
      <c r="A61" s="11" t="str">
        <f t="shared" si="6"/>
        <v>IBVS 4373 </v>
      </c>
      <c r="B61" s="3" t="str">
        <f t="shared" si="7"/>
        <v>I</v>
      </c>
      <c r="C61" s="11">
        <f t="shared" si="8"/>
        <v>44985.235999999997</v>
      </c>
      <c r="D61" s="17" t="str">
        <f t="shared" si="9"/>
        <v>vis</v>
      </c>
      <c r="E61" s="49" t="e">
        <f>VLOOKUP(C61,Active!C$21:E$920,3,FALSE)</f>
        <v>#N/A</v>
      </c>
      <c r="F61" s="3" t="s">
        <v>62</v>
      </c>
      <c r="G61" s="17" t="str">
        <f t="shared" si="10"/>
        <v>44985.236</v>
      </c>
      <c r="H61" s="11">
        <f t="shared" si="11"/>
        <v>-2404</v>
      </c>
      <c r="I61" s="50" t="s">
        <v>179</v>
      </c>
      <c r="J61" s="51" t="s">
        <v>180</v>
      </c>
      <c r="K61" s="50">
        <v>-2404</v>
      </c>
      <c r="L61" s="50" t="s">
        <v>181</v>
      </c>
      <c r="M61" s="51" t="s">
        <v>67</v>
      </c>
      <c r="N61" s="51"/>
      <c r="O61" s="52" t="s">
        <v>88</v>
      </c>
      <c r="P61" s="53" t="s">
        <v>89</v>
      </c>
    </row>
    <row r="62" spans="1:16" ht="12.75" customHeight="1" thickBot="1">
      <c r="A62" s="11" t="str">
        <f t="shared" si="6"/>
        <v>IBVS 4373 </v>
      </c>
      <c r="B62" s="3" t="str">
        <f t="shared" si="7"/>
        <v>I</v>
      </c>
      <c r="C62" s="11">
        <f t="shared" si="8"/>
        <v>45138.500999999997</v>
      </c>
      <c r="D62" s="17" t="str">
        <f t="shared" si="9"/>
        <v>vis</v>
      </c>
      <c r="E62" s="49" t="e">
        <f>VLOOKUP(C62,Active!C$21:E$920,3,FALSE)</f>
        <v>#N/A</v>
      </c>
      <c r="F62" s="3" t="s">
        <v>62</v>
      </c>
      <c r="G62" s="17" t="str">
        <f t="shared" si="10"/>
        <v>45138.501</v>
      </c>
      <c r="H62" s="11">
        <f t="shared" si="11"/>
        <v>-2355</v>
      </c>
      <c r="I62" s="50" t="s">
        <v>182</v>
      </c>
      <c r="J62" s="51" t="s">
        <v>183</v>
      </c>
      <c r="K62" s="50">
        <v>-2355</v>
      </c>
      <c r="L62" s="50" t="s">
        <v>184</v>
      </c>
      <c r="M62" s="51" t="s">
        <v>67</v>
      </c>
      <c r="N62" s="51"/>
      <c r="O62" s="52" t="s">
        <v>88</v>
      </c>
      <c r="P62" s="53" t="s">
        <v>89</v>
      </c>
    </row>
    <row r="63" spans="1:16" ht="12.75" customHeight="1" thickBot="1">
      <c r="A63" s="11" t="str">
        <f t="shared" si="6"/>
        <v>IBVS 4373 </v>
      </c>
      <c r="B63" s="3" t="str">
        <f t="shared" si="7"/>
        <v>I</v>
      </c>
      <c r="C63" s="11">
        <f t="shared" si="8"/>
        <v>45163.438999999998</v>
      </c>
      <c r="D63" s="17" t="str">
        <f t="shared" si="9"/>
        <v>vis</v>
      </c>
      <c r="E63" s="49" t="e">
        <f>VLOOKUP(C63,Active!C$21:E$920,3,FALSE)</f>
        <v>#N/A</v>
      </c>
      <c r="F63" s="3" t="s">
        <v>62</v>
      </c>
      <c r="G63" s="17" t="str">
        <f t="shared" si="10"/>
        <v>45163.439</v>
      </c>
      <c r="H63" s="11">
        <f t="shared" si="11"/>
        <v>-2347</v>
      </c>
      <c r="I63" s="50" t="s">
        <v>185</v>
      </c>
      <c r="J63" s="51" t="s">
        <v>186</v>
      </c>
      <c r="K63" s="50">
        <v>-2347</v>
      </c>
      <c r="L63" s="50" t="s">
        <v>187</v>
      </c>
      <c r="M63" s="51" t="s">
        <v>67</v>
      </c>
      <c r="N63" s="51"/>
      <c r="O63" s="52" t="s">
        <v>88</v>
      </c>
      <c r="P63" s="53" t="s">
        <v>89</v>
      </c>
    </row>
    <row r="64" spans="1:16" ht="12.75" customHeight="1" thickBot="1">
      <c r="A64" s="11" t="str">
        <f t="shared" si="6"/>
        <v>IBVS 4373 </v>
      </c>
      <c r="B64" s="3" t="str">
        <f t="shared" si="7"/>
        <v>I</v>
      </c>
      <c r="C64" s="11">
        <f t="shared" si="8"/>
        <v>45676.273000000001</v>
      </c>
      <c r="D64" s="17" t="str">
        <f t="shared" si="9"/>
        <v>vis</v>
      </c>
      <c r="E64" s="49" t="e">
        <f>VLOOKUP(C64,Active!C$21:E$920,3,FALSE)</f>
        <v>#N/A</v>
      </c>
      <c r="F64" s="3" t="s">
        <v>62</v>
      </c>
      <c r="G64" s="17" t="str">
        <f t="shared" si="10"/>
        <v>45676.273</v>
      </c>
      <c r="H64" s="11">
        <f t="shared" si="11"/>
        <v>-2183</v>
      </c>
      <c r="I64" s="50" t="s">
        <v>188</v>
      </c>
      <c r="J64" s="51" t="s">
        <v>189</v>
      </c>
      <c r="K64" s="50">
        <v>-2183</v>
      </c>
      <c r="L64" s="50" t="s">
        <v>190</v>
      </c>
      <c r="M64" s="51" t="s">
        <v>67</v>
      </c>
      <c r="N64" s="51"/>
      <c r="O64" s="52" t="s">
        <v>88</v>
      </c>
      <c r="P64" s="53" t="s">
        <v>89</v>
      </c>
    </row>
    <row r="65" spans="1:16" ht="12.75" customHeight="1" thickBot="1">
      <c r="A65" s="11" t="str">
        <f t="shared" si="6"/>
        <v>IBVS 4373 </v>
      </c>
      <c r="B65" s="3" t="str">
        <f t="shared" si="7"/>
        <v>I</v>
      </c>
      <c r="C65" s="11">
        <f t="shared" si="8"/>
        <v>45973.341</v>
      </c>
      <c r="D65" s="17" t="str">
        <f t="shared" si="9"/>
        <v>vis</v>
      </c>
      <c r="E65" s="49" t="e">
        <f>VLOOKUP(C65,Active!C$21:E$920,3,FALSE)</f>
        <v>#N/A</v>
      </c>
      <c r="F65" s="3" t="s">
        <v>62</v>
      </c>
      <c r="G65" s="17" t="str">
        <f t="shared" si="10"/>
        <v>45973.341</v>
      </c>
      <c r="H65" s="11">
        <f t="shared" si="11"/>
        <v>-2088</v>
      </c>
      <c r="I65" s="50" t="s">
        <v>191</v>
      </c>
      <c r="J65" s="51" t="s">
        <v>192</v>
      </c>
      <c r="K65" s="50">
        <v>-2088</v>
      </c>
      <c r="L65" s="50" t="s">
        <v>193</v>
      </c>
      <c r="M65" s="51" t="s">
        <v>67</v>
      </c>
      <c r="N65" s="51"/>
      <c r="O65" s="52" t="s">
        <v>88</v>
      </c>
      <c r="P65" s="53" t="s">
        <v>89</v>
      </c>
    </row>
    <row r="66" spans="1:16" ht="12.75" customHeight="1" thickBot="1">
      <c r="A66" s="11" t="str">
        <f t="shared" si="6"/>
        <v>IBVS 3048 </v>
      </c>
      <c r="B66" s="3" t="str">
        <f t="shared" si="7"/>
        <v>I</v>
      </c>
      <c r="C66" s="11">
        <f t="shared" si="8"/>
        <v>46270.44</v>
      </c>
      <c r="D66" s="17" t="str">
        <f t="shared" si="9"/>
        <v>vis</v>
      </c>
      <c r="E66" s="49">
        <f>VLOOKUP(C66,Active!C$21:E$920,3,FALSE)</f>
        <v>3253.0286546128104</v>
      </c>
      <c r="F66" s="3" t="s">
        <v>62</v>
      </c>
      <c r="G66" s="17" t="str">
        <f t="shared" si="10"/>
        <v>46270.440</v>
      </c>
      <c r="H66" s="11">
        <f t="shared" si="11"/>
        <v>-1993</v>
      </c>
      <c r="I66" s="50" t="s">
        <v>194</v>
      </c>
      <c r="J66" s="51" t="s">
        <v>195</v>
      </c>
      <c r="K66" s="50">
        <v>-1993</v>
      </c>
      <c r="L66" s="50" t="s">
        <v>196</v>
      </c>
      <c r="M66" s="51" t="s">
        <v>197</v>
      </c>
      <c r="N66" s="51" t="s">
        <v>198</v>
      </c>
      <c r="O66" s="52" t="s">
        <v>199</v>
      </c>
      <c r="P66" s="53" t="s">
        <v>200</v>
      </c>
    </row>
    <row r="67" spans="1:16" ht="12.75" customHeight="1" thickBot="1">
      <c r="A67" s="11" t="str">
        <f t="shared" si="6"/>
        <v>IBVS 4373 </v>
      </c>
      <c r="B67" s="3" t="str">
        <f t="shared" si="7"/>
        <v>I</v>
      </c>
      <c r="C67" s="11">
        <f t="shared" si="8"/>
        <v>46270.497000000003</v>
      </c>
      <c r="D67" s="17" t="str">
        <f t="shared" si="9"/>
        <v>vis</v>
      </c>
      <c r="E67" s="49" t="e">
        <f>VLOOKUP(C67,Active!C$21:E$920,3,FALSE)</f>
        <v>#N/A</v>
      </c>
      <c r="F67" s="3" t="s">
        <v>62</v>
      </c>
      <c r="G67" s="17" t="str">
        <f t="shared" si="10"/>
        <v>46270.497</v>
      </c>
      <c r="H67" s="11">
        <f t="shared" si="11"/>
        <v>-1993</v>
      </c>
      <c r="I67" s="50" t="s">
        <v>201</v>
      </c>
      <c r="J67" s="51" t="s">
        <v>202</v>
      </c>
      <c r="K67" s="50">
        <v>-1993</v>
      </c>
      <c r="L67" s="50" t="s">
        <v>203</v>
      </c>
      <c r="M67" s="51" t="s">
        <v>67</v>
      </c>
      <c r="N67" s="51"/>
      <c r="O67" s="52" t="s">
        <v>88</v>
      </c>
      <c r="P67" s="53" t="s">
        <v>89</v>
      </c>
    </row>
    <row r="68" spans="1:16" ht="12.75" customHeight="1" thickBot="1">
      <c r="A68" s="11" t="str">
        <f t="shared" si="6"/>
        <v>IBVS 4373 </v>
      </c>
      <c r="B68" s="3" t="str">
        <f t="shared" si="7"/>
        <v>I</v>
      </c>
      <c r="C68" s="11">
        <f t="shared" si="8"/>
        <v>46320.404999999999</v>
      </c>
      <c r="D68" s="17" t="str">
        <f t="shared" si="9"/>
        <v>vis</v>
      </c>
      <c r="E68" s="49" t="e">
        <f>VLOOKUP(C68,Active!C$21:E$920,3,FALSE)</f>
        <v>#N/A</v>
      </c>
      <c r="F68" s="3" t="s">
        <v>62</v>
      </c>
      <c r="G68" s="17" t="str">
        <f t="shared" si="10"/>
        <v>46320.405</v>
      </c>
      <c r="H68" s="11">
        <f t="shared" si="11"/>
        <v>-1977</v>
      </c>
      <c r="I68" s="50" t="s">
        <v>204</v>
      </c>
      <c r="J68" s="51" t="s">
        <v>205</v>
      </c>
      <c r="K68" s="50">
        <v>-1977</v>
      </c>
      <c r="L68" s="50" t="s">
        <v>206</v>
      </c>
      <c r="M68" s="51" t="s">
        <v>67</v>
      </c>
      <c r="N68" s="51"/>
      <c r="O68" s="52" t="s">
        <v>88</v>
      </c>
      <c r="P68" s="53" t="s">
        <v>89</v>
      </c>
    </row>
    <row r="69" spans="1:16" ht="12.75" customHeight="1" thickBot="1">
      <c r="A69" s="11" t="str">
        <f t="shared" si="6"/>
        <v> BRNO 31.36 </v>
      </c>
      <c r="B69" s="3" t="str">
        <f t="shared" si="7"/>
        <v>I</v>
      </c>
      <c r="C69" s="11">
        <f t="shared" si="8"/>
        <v>46642.542999999998</v>
      </c>
      <c r="D69" s="17" t="str">
        <f t="shared" si="9"/>
        <v>vis</v>
      </c>
      <c r="E69" s="49">
        <f>VLOOKUP(C69,Active!C$21:E$920,3,FALSE)</f>
        <v>3372.0267505307052</v>
      </c>
      <c r="F69" s="3" t="s">
        <v>62</v>
      </c>
      <c r="G69" s="17" t="str">
        <f t="shared" si="10"/>
        <v>46642.543</v>
      </c>
      <c r="H69" s="11">
        <f t="shared" si="11"/>
        <v>-1874</v>
      </c>
      <c r="I69" s="50" t="s">
        <v>207</v>
      </c>
      <c r="J69" s="51" t="s">
        <v>208</v>
      </c>
      <c r="K69" s="50">
        <v>-1874</v>
      </c>
      <c r="L69" s="50" t="s">
        <v>209</v>
      </c>
      <c r="M69" s="51" t="s">
        <v>197</v>
      </c>
      <c r="N69" s="51" t="s">
        <v>198</v>
      </c>
      <c r="O69" s="52" t="s">
        <v>199</v>
      </c>
      <c r="P69" s="52" t="s">
        <v>210</v>
      </c>
    </row>
    <row r="70" spans="1:16" ht="12.75" customHeight="1" thickBot="1">
      <c r="A70" s="11" t="str">
        <f t="shared" si="6"/>
        <v>IBVS 4373 </v>
      </c>
      <c r="B70" s="3" t="str">
        <f t="shared" si="7"/>
        <v>I</v>
      </c>
      <c r="C70" s="11">
        <f t="shared" si="8"/>
        <v>46714.375999999997</v>
      </c>
      <c r="D70" s="17" t="str">
        <f t="shared" si="9"/>
        <v>vis</v>
      </c>
      <c r="E70" s="49" t="e">
        <f>VLOOKUP(C70,Active!C$21:E$920,3,FALSE)</f>
        <v>#N/A</v>
      </c>
      <c r="F70" s="3" t="s">
        <v>62</v>
      </c>
      <c r="G70" s="17" t="str">
        <f t="shared" si="10"/>
        <v>46714.376</v>
      </c>
      <c r="H70" s="11">
        <f t="shared" si="11"/>
        <v>-1851</v>
      </c>
      <c r="I70" s="50" t="s">
        <v>211</v>
      </c>
      <c r="J70" s="51" t="s">
        <v>212</v>
      </c>
      <c r="K70" s="50">
        <v>-1851</v>
      </c>
      <c r="L70" s="50" t="s">
        <v>213</v>
      </c>
      <c r="M70" s="51" t="s">
        <v>67</v>
      </c>
      <c r="N70" s="51"/>
      <c r="O70" s="52" t="s">
        <v>88</v>
      </c>
      <c r="P70" s="53" t="s">
        <v>89</v>
      </c>
    </row>
    <row r="71" spans="1:16" ht="12.75" customHeight="1" thickBot="1">
      <c r="A71" s="11" t="str">
        <f t="shared" si="6"/>
        <v>IBVS 4373 </v>
      </c>
      <c r="B71" s="3" t="str">
        <f t="shared" si="7"/>
        <v>I</v>
      </c>
      <c r="C71" s="11">
        <f t="shared" si="8"/>
        <v>48093.498</v>
      </c>
      <c r="D71" s="17" t="str">
        <f t="shared" si="9"/>
        <v>vis</v>
      </c>
      <c r="E71" s="49" t="e">
        <f>VLOOKUP(C71,Active!C$21:E$920,3,FALSE)</f>
        <v>#N/A</v>
      </c>
      <c r="F71" s="3" t="s">
        <v>62</v>
      </c>
      <c r="G71" s="17" t="str">
        <f t="shared" si="10"/>
        <v>48093.498</v>
      </c>
      <c r="H71" s="11">
        <f t="shared" si="11"/>
        <v>-1410</v>
      </c>
      <c r="I71" s="50" t="s">
        <v>227</v>
      </c>
      <c r="J71" s="51" t="s">
        <v>228</v>
      </c>
      <c r="K71" s="50">
        <v>-1410</v>
      </c>
      <c r="L71" s="50" t="s">
        <v>229</v>
      </c>
      <c r="M71" s="51" t="s">
        <v>67</v>
      </c>
      <c r="N71" s="51"/>
      <c r="O71" s="52" t="s">
        <v>88</v>
      </c>
      <c r="P71" s="53" t="s">
        <v>89</v>
      </c>
    </row>
    <row r="72" spans="1:16" ht="12.75" customHeight="1" thickBot="1">
      <c r="A72" s="11" t="str">
        <f t="shared" si="6"/>
        <v>IBVS 4373 </v>
      </c>
      <c r="B72" s="3" t="str">
        <f t="shared" si="7"/>
        <v>I</v>
      </c>
      <c r="C72" s="11">
        <f t="shared" si="8"/>
        <v>48096.504999999997</v>
      </c>
      <c r="D72" s="17" t="str">
        <f t="shared" si="9"/>
        <v>vis</v>
      </c>
      <c r="E72" s="49" t="e">
        <f>VLOOKUP(C72,Active!C$21:E$920,3,FALSE)</f>
        <v>#N/A</v>
      </c>
      <c r="F72" s="3" t="s">
        <v>62</v>
      </c>
      <c r="G72" s="17" t="str">
        <f t="shared" si="10"/>
        <v>48096.505</v>
      </c>
      <c r="H72" s="11">
        <f t="shared" si="11"/>
        <v>-1409</v>
      </c>
      <c r="I72" s="50" t="s">
        <v>230</v>
      </c>
      <c r="J72" s="51" t="s">
        <v>231</v>
      </c>
      <c r="K72" s="50">
        <v>-1409</v>
      </c>
      <c r="L72" s="50" t="s">
        <v>232</v>
      </c>
      <c r="M72" s="51" t="s">
        <v>67</v>
      </c>
      <c r="N72" s="51"/>
      <c r="O72" s="52" t="s">
        <v>88</v>
      </c>
      <c r="P72" s="53" t="s">
        <v>89</v>
      </c>
    </row>
    <row r="73" spans="1:16" ht="12.75" customHeight="1" thickBot="1">
      <c r="A73" s="11" t="str">
        <f t="shared" si="6"/>
        <v>IBVS 4373 </v>
      </c>
      <c r="B73" s="3" t="str">
        <f t="shared" si="7"/>
        <v>I</v>
      </c>
      <c r="C73" s="11">
        <f t="shared" si="8"/>
        <v>48512.402999999998</v>
      </c>
      <c r="D73" s="17" t="str">
        <f t="shared" si="9"/>
        <v>vis</v>
      </c>
      <c r="E73" s="49" t="e">
        <f>VLOOKUP(C73,Active!C$21:E$920,3,FALSE)</f>
        <v>#N/A</v>
      </c>
      <c r="F73" s="3" t="s">
        <v>62</v>
      </c>
      <c r="G73" s="17" t="str">
        <f t="shared" si="10"/>
        <v>48512.403</v>
      </c>
      <c r="H73" s="11">
        <f t="shared" si="11"/>
        <v>-1276</v>
      </c>
      <c r="I73" s="50" t="s">
        <v>233</v>
      </c>
      <c r="J73" s="51" t="s">
        <v>234</v>
      </c>
      <c r="K73" s="50">
        <v>-1276</v>
      </c>
      <c r="L73" s="50" t="s">
        <v>235</v>
      </c>
      <c r="M73" s="51" t="s">
        <v>67</v>
      </c>
      <c r="N73" s="51"/>
      <c r="O73" s="52" t="s">
        <v>88</v>
      </c>
      <c r="P73" s="53" t="s">
        <v>89</v>
      </c>
    </row>
    <row r="74" spans="1:16" ht="12.75" customHeight="1" thickBot="1">
      <c r="A74" s="11" t="str">
        <f t="shared" si="6"/>
        <v> BRNO 31 </v>
      </c>
      <c r="B74" s="3" t="str">
        <f t="shared" si="7"/>
        <v>I</v>
      </c>
      <c r="C74" s="11">
        <f t="shared" si="8"/>
        <v>48512.43</v>
      </c>
      <c r="D74" s="17" t="str">
        <f t="shared" si="9"/>
        <v>vis</v>
      </c>
      <c r="E74" s="49">
        <f>VLOOKUP(C74,Active!C$21:E$920,3,FALSE)</f>
        <v>3970.0143845503912</v>
      </c>
      <c r="F74" s="3" t="s">
        <v>62</v>
      </c>
      <c r="G74" s="17" t="str">
        <f t="shared" si="10"/>
        <v>48512.430</v>
      </c>
      <c r="H74" s="11">
        <f t="shared" si="11"/>
        <v>-1276</v>
      </c>
      <c r="I74" s="50" t="s">
        <v>236</v>
      </c>
      <c r="J74" s="51" t="s">
        <v>237</v>
      </c>
      <c r="K74" s="50">
        <v>-1276</v>
      </c>
      <c r="L74" s="50" t="s">
        <v>238</v>
      </c>
      <c r="M74" s="51" t="s">
        <v>217</v>
      </c>
      <c r="N74" s="51"/>
      <c r="O74" s="52" t="s">
        <v>239</v>
      </c>
      <c r="P74" s="52" t="s">
        <v>240</v>
      </c>
    </row>
    <row r="75" spans="1:16" ht="12.75" customHeight="1" thickBot="1">
      <c r="A75" s="11" t="str">
        <f t="shared" ref="A75:A81" si="12">P75</f>
        <v>IBVS 4373 </v>
      </c>
      <c r="B75" s="3" t="str">
        <f t="shared" ref="B75:B81" si="13">IF(H75=INT(H75),"I","II")</f>
        <v>I</v>
      </c>
      <c r="C75" s="11">
        <f t="shared" ref="C75:C81" si="14">1*G75</f>
        <v>48534.366000000002</v>
      </c>
      <c r="D75" s="17" t="str">
        <f t="shared" ref="D75:D81" si="15">VLOOKUP(F75,I$1:J$5,2,FALSE)</f>
        <v>vis</v>
      </c>
      <c r="E75" s="49" t="e">
        <f>VLOOKUP(C75,Active!C$21:E$920,3,FALSE)</f>
        <v>#N/A</v>
      </c>
      <c r="F75" s="3" t="s">
        <v>62</v>
      </c>
      <c r="G75" s="17" t="str">
        <f t="shared" ref="G75:G81" si="16">MID(I75,3,LEN(I75)-3)</f>
        <v>48534.366</v>
      </c>
      <c r="H75" s="11">
        <f t="shared" ref="H75:H81" si="17">1*K75</f>
        <v>-1269</v>
      </c>
      <c r="I75" s="50" t="s">
        <v>241</v>
      </c>
      <c r="J75" s="51" t="s">
        <v>242</v>
      </c>
      <c r="K75" s="50">
        <v>-1269</v>
      </c>
      <c r="L75" s="50" t="s">
        <v>243</v>
      </c>
      <c r="M75" s="51" t="s">
        <v>67</v>
      </c>
      <c r="N75" s="51"/>
      <c r="O75" s="52" t="s">
        <v>88</v>
      </c>
      <c r="P75" s="53" t="s">
        <v>89</v>
      </c>
    </row>
    <row r="76" spans="1:16" ht="12.75" customHeight="1" thickBot="1">
      <c r="A76" s="11" t="str">
        <f t="shared" si="12"/>
        <v>IBVS 4373 </v>
      </c>
      <c r="B76" s="3" t="str">
        <f t="shared" si="13"/>
        <v>I</v>
      </c>
      <c r="C76" s="11">
        <f t="shared" si="14"/>
        <v>48537.39</v>
      </c>
      <c r="D76" s="17" t="str">
        <f t="shared" si="15"/>
        <v>vis</v>
      </c>
      <c r="E76" s="49" t="e">
        <f>VLOOKUP(C76,Active!C$21:E$920,3,FALSE)</f>
        <v>#N/A</v>
      </c>
      <c r="F76" s="3" t="s">
        <v>62</v>
      </c>
      <c r="G76" s="17" t="str">
        <f t="shared" si="16"/>
        <v>48537.390</v>
      </c>
      <c r="H76" s="11">
        <f t="shared" si="17"/>
        <v>-1268</v>
      </c>
      <c r="I76" s="50" t="s">
        <v>244</v>
      </c>
      <c r="J76" s="51" t="s">
        <v>245</v>
      </c>
      <c r="K76" s="50">
        <v>-1268</v>
      </c>
      <c r="L76" s="50" t="s">
        <v>246</v>
      </c>
      <c r="M76" s="51" t="s">
        <v>67</v>
      </c>
      <c r="N76" s="51"/>
      <c r="O76" s="52" t="s">
        <v>88</v>
      </c>
      <c r="P76" s="53" t="s">
        <v>89</v>
      </c>
    </row>
    <row r="77" spans="1:16" ht="12.75" customHeight="1" thickBot="1">
      <c r="A77" s="11" t="str">
        <f t="shared" si="12"/>
        <v>IBVS 4373 </v>
      </c>
      <c r="B77" s="3" t="str">
        <f t="shared" si="13"/>
        <v>I</v>
      </c>
      <c r="C77" s="11">
        <f t="shared" si="14"/>
        <v>48559.3</v>
      </c>
      <c r="D77" s="17" t="str">
        <f t="shared" si="15"/>
        <v>vis</v>
      </c>
      <c r="E77" s="49" t="e">
        <f>VLOOKUP(C77,Active!C$21:E$920,3,FALSE)</f>
        <v>#N/A</v>
      </c>
      <c r="F77" s="3" t="s">
        <v>62</v>
      </c>
      <c r="G77" s="17" t="str">
        <f t="shared" si="16"/>
        <v>48559.300</v>
      </c>
      <c r="H77" s="11">
        <f t="shared" si="17"/>
        <v>-1261</v>
      </c>
      <c r="I77" s="50" t="s">
        <v>247</v>
      </c>
      <c r="J77" s="51" t="s">
        <v>248</v>
      </c>
      <c r="K77" s="50">
        <v>-1261</v>
      </c>
      <c r="L77" s="50" t="s">
        <v>249</v>
      </c>
      <c r="M77" s="51" t="s">
        <v>67</v>
      </c>
      <c r="N77" s="51"/>
      <c r="O77" s="52" t="s">
        <v>88</v>
      </c>
      <c r="P77" s="53" t="s">
        <v>89</v>
      </c>
    </row>
    <row r="78" spans="1:16" ht="12.75" customHeight="1" thickBot="1">
      <c r="A78" s="11" t="str">
        <f t="shared" si="12"/>
        <v>IBVS 4373 </v>
      </c>
      <c r="B78" s="3" t="str">
        <f t="shared" si="13"/>
        <v>I</v>
      </c>
      <c r="C78" s="11">
        <f t="shared" si="14"/>
        <v>48559.360000000001</v>
      </c>
      <c r="D78" s="17" t="str">
        <f t="shared" si="15"/>
        <v>vis</v>
      </c>
      <c r="E78" s="49" t="e">
        <f>VLOOKUP(C78,Active!C$21:E$920,3,FALSE)</f>
        <v>#N/A</v>
      </c>
      <c r="F78" s="3" t="s">
        <v>62</v>
      </c>
      <c r="G78" s="17" t="str">
        <f t="shared" si="16"/>
        <v>48559.360</v>
      </c>
      <c r="H78" s="11">
        <f t="shared" si="17"/>
        <v>-1261</v>
      </c>
      <c r="I78" s="50" t="s">
        <v>250</v>
      </c>
      <c r="J78" s="51" t="s">
        <v>251</v>
      </c>
      <c r="K78" s="50">
        <v>-1261</v>
      </c>
      <c r="L78" s="50" t="s">
        <v>252</v>
      </c>
      <c r="M78" s="51" t="s">
        <v>67</v>
      </c>
      <c r="N78" s="51"/>
      <c r="O78" s="52" t="s">
        <v>88</v>
      </c>
      <c r="P78" s="53" t="s">
        <v>89</v>
      </c>
    </row>
    <row r="79" spans="1:16" ht="12.75" customHeight="1" thickBot="1">
      <c r="A79" s="11" t="str">
        <f t="shared" si="12"/>
        <v>IBVS 4373 </v>
      </c>
      <c r="B79" s="3" t="str">
        <f t="shared" si="13"/>
        <v>I</v>
      </c>
      <c r="C79" s="11">
        <f t="shared" si="14"/>
        <v>49250.379000000001</v>
      </c>
      <c r="D79" s="17" t="str">
        <f t="shared" si="15"/>
        <v>vis</v>
      </c>
      <c r="E79" s="49" t="e">
        <f>VLOOKUP(C79,Active!C$21:E$920,3,FALSE)</f>
        <v>#N/A</v>
      </c>
      <c r="F79" s="3" t="s">
        <v>62</v>
      </c>
      <c r="G79" s="17" t="str">
        <f t="shared" si="16"/>
        <v>49250.379</v>
      </c>
      <c r="H79" s="11">
        <f t="shared" si="17"/>
        <v>-1040</v>
      </c>
      <c r="I79" s="50" t="s">
        <v>253</v>
      </c>
      <c r="J79" s="51" t="s">
        <v>254</v>
      </c>
      <c r="K79" s="50">
        <v>-1040</v>
      </c>
      <c r="L79" s="50" t="s">
        <v>255</v>
      </c>
      <c r="M79" s="51" t="s">
        <v>67</v>
      </c>
      <c r="N79" s="51"/>
      <c r="O79" s="52" t="s">
        <v>88</v>
      </c>
      <c r="P79" s="53" t="s">
        <v>89</v>
      </c>
    </row>
    <row r="80" spans="1:16" ht="12.75" customHeight="1" thickBot="1">
      <c r="A80" s="11" t="str">
        <f t="shared" si="12"/>
        <v>IBVS 4373 </v>
      </c>
      <c r="B80" s="3" t="str">
        <f t="shared" si="13"/>
        <v>I</v>
      </c>
      <c r="C80" s="11">
        <f t="shared" si="14"/>
        <v>49688.252</v>
      </c>
      <c r="D80" s="17" t="str">
        <f t="shared" si="15"/>
        <v>vis</v>
      </c>
      <c r="E80" s="49" t="e">
        <f>VLOOKUP(C80,Active!C$21:E$920,3,FALSE)</f>
        <v>#N/A</v>
      </c>
      <c r="F80" s="3" t="s">
        <v>62</v>
      </c>
      <c r="G80" s="17" t="str">
        <f t="shared" si="16"/>
        <v>49688.252</v>
      </c>
      <c r="H80" s="11">
        <f t="shared" si="17"/>
        <v>-900</v>
      </c>
      <c r="I80" s="50" t="s">
        <v>256</v>
      </c>
      <c r="J80" s="51" t="s">
        <v>257</v>
      </c>
      <c r="K80" s="50">
        <v>-900</v>
      </c>
      <c r="L80" s="50" t="s">
        <v>258</v>
      </c>
      <c r="M80" s="51" t="s">
        <v>67</v>
      </c>
      <c r="N80" s="51"/>
      <c r="O80" s="52" t="s">
        <v>88</v>
      </c>
      <c r="P80" s="53" t="s">
        <v>89</v>
      </c>
    </row>
    <row r="81" spans="1:16" ht="12.75" customHeight="1" thickBot="1">
      <c r="A81" s="11" t="str">
        <f t="shared" si="12"/>
        <v> BBS 119 </v>
      </c>
      <c r="B81" s="3" t="str">
        <f t="shared" si="13"/>
        <v>I</v>
      </c>
      <c r="C81" s="11">
        <f t="shared" si="14"/>
        <v>51167.226999999999</v>
      </c>
      <c r="D81" s="17" t="str">
        <f t="shared" si="15"/>
        <v>vis</v>
      </c>
      <c r="E81" s="49">
        <f>VLOOKUP(C81,Active!C$21:E$920,3,FALSE)</f>
        <v>4819.0153010937747</v>
      </c>
      <c r="F81" s="3" t="s">
        <v>62</v>
      </c>
      <c r="G81" s="17" t="str">
        <f t="shared" si="16"/>
        <v>51167.227</v>
      </c>
      <c r="H81" s="11">
        <f t="shared" si="17"/>
        <v>-427</v>
      </c>
      <c r="I81" s="50" t="s">
        <v>279</v>
      </c>
      <c r="J81" s="51" t="s">
        <v>280</v>
      </c>
      <c r="K81" s="50">
        <v>-427</v>
      </c>
      <c r="L81" s="50" t="s">
        <v>281</v>
      </c>
      <c r="M81" s="51" t="s">
        <v>217</v>
      </c>
      <c r="N81" s="51"/>
      <c r="O81" s="52" t="s">
        <v>218</v>
      </c>
      <c r="P81" s="52" t="s">
        <v>282</v>
      </c>
    </row>
    <row r="82" spans="1:16">
      <c r="B82" s="3"/>
      <c r="F82" s="3"/>
    </row>
    <row r="83" spans="1:16">
      <c r="B83" s="3"/>
      <c r="F83" s="3"/>
    </row>
    <row r="84" spans="1:16">
      <c r="B84" s="3"/>
      <c r="F84" s="3"/>
    </row>
    <row r="85" spans="1:16">
      <c r="B85" s="3"/>
      <c r="F85" s="3"/>
    </row>
    <row r="86" spans="1:16">
      <c r="B86" s="3"/>
      <c r="F86" s="3"/>
    </row>
    <row r="87" spans="1:16">
      <c r="B87" s="3"/>
      <c r="F87" s="3"/>
    </row>
    <row r="88" spans="1:16">
      <c r="B88" s="3"/>
      <c r="F88" s="3"/>
    </row>
    <row r="89" spans="1:16">
      <c r="B89" s="3"/>
      <c r="F89" s="3"/>
    </row>
    <row r="90" spans="1:16">
      <c r="B90" s="3"/>
      <c r="F90" s="3"/>
    </row>
    <row r="91" spans="1:16">
      <c r="B91" s="3"/>
      <c r="F91" s="3"/>
    </row>
    <row r="92" spans="1:16">
      <c r="B92" s="3"/>
      <c r="F92" s="3"/>
    </row>
    <row r="93" spans="1:16">
      <c r="B93" s="3"/>
      <c r="F93" s="3"/>
    </row>
    <row r="94" spans="1:16">
      <c r="B94" s="3"/>
      <c r="F94" s="3"/>
    </row>
    <row r="95" spans="1:16">
      <c r="B95" s="3"/>
      <c r="F95" s="3"/>
    </row>
    <row r="96" spans="1:1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</sheetData>
  <phoneticPr fontId="7" type="noConversion"/>
  <hyperlinks>
    <hyperlink ref="P30" r:id="rId1" display="http://www.konkoly.hu/cgi-bin/IBVS?4373"/>
    <hyperlink ref="P31" r:id="rId2" display="http://www.konkoly.hu/cgi-bin/IBVS?4373"/>
    <hyperlink ref="P32" r:id="rId3" display="http://www.konkoly.hu/cgi-bin/IBVS?4373"/>
    <hyperlink ref="P33" r:id="rId4" display="http://www.konkoly.hu/cgi-bin/IBVS?4373"/>
    <hyperlink ref="P34" r:id="rId5" display="http://www.konkoly.hu/cgi-bin/IBVS?4373"/>
    <hyperlink ref="P35" r:id="rId6" display="http://www.konkoly.hu/cgi-bin/IBVS?4373"/>
    <hyperlink ref="P36" r:id="rId7" display="http://www.konkoly.hu/cgi-bin/IBVS?4373"/>
    <hyperlink ref="P37" r:id="rId8" display="http://www.konkoly.hu/cgi-bin/IBVS?4373"/>
    <hyperlink ref="P38" r:id="rId9" display="http://www.konkoly.hu/cgi-bin/IBVS?4373"/>
    <hyperlink ref="P39" r:id="rId10" display="http://www.konkoly.hu/cgi-bin/IBVS?4373"/>
    <hyperlink ref="P40" r:id="rId11" display="http://www.konkoly.hu/cgi-bin/IBVS?4373"/>
    <hyperlink ref="P41" r:id="rId12" display="http://www.konkoly.hu/cgi-bin/IBVS?4373"/>
    <hyperlink ref="P42" r:id="rId13" display="http://www.konkoly.hu/cgi-bin/IBVS?4373"/>
    <hyperlink ref="P43" r:id="rId14" display="http://www.konkoly.hu/cgi-bin/IBVS?4373"/>
    <hyperlink ref="P44" r:id="rId15" display="http://www.konkoly.hu/cgi-bin/IBVS?4373"/>
    <hyperlink ref="P45" r:id="rId16" display="http://www.konkoly.hu/cgi-bin/IBVS?4373"/>
    <hyperlink ref="P46" r:id="rId17" display="http://www.konkoly.hu/cgi-bin/IBVS?4373"/>
    <hyperlink ref="P47" r:id="rId18" display="http://www.konkoly.hu/cgi-bin/IBVS?4373"/>
    <hyperlink ref="P48" r:id="rId19" display="http://www.konkoly.hu/cgi-bin/IBVS?4373"/>
    <hyperlink ref="P49" r:id="rId20" display="http://www.konkoly.hu/cgi-bin/IBVS?4373"/>
    <hyperlink ref="P50" r:id="rId21" display="http://www.konkoly.hu/cgi-bin/IBVS?4373"/>
    <hyperlink ref="P51" r:id="rId22" display="http://www.konkoly.hu/cgi-bin/IBVS?4373"/>
    <hyperlink ref="P52" r:id="rId23" display="http://www.konkoly.hu/cgi-bin/IBVS?4373"/>
    <hyperlink ref="P53" r:id="rId24" display="http://www.konkoly.hu/cgi-bin/IBVS?4373"/>
    <hyperlink ref="P54" r:id="rId25" display="http://www.konkoly.hu/cgi-bin/IBVS?4373"/>
    <hyperlink ref="P55" r:id="rId26" display="http://www.konkoly.hu/cgi-bin/IBVS?4373"/>
    <hyperlink ref="P56" r:id="rId27" display="http://www.konkoly.hu/cgi-bin/IBVS?4373"/>
    <hyperlink ref="P57" r:id="rId28" display="http://www.konkoly.hu/cgi-bin/IBVS?4373"/>
    <hyperlink ref="P58" r:id="rId29" display="http://www.konkoly.hu/cgi-bin/IBVS?4373"/>
    <hyperlink ref="P59" r:id="rId30" display="http://www.konkoly.hu/cgi-bin/IBVS?4373"/>
    <hyperlink ref="P60" r:id="rId31" display="http://www.konkoly.hu/cgi-bin/IBVS?4373"/>
    <hyperlink ref="P61" r:id="rId32" display="http://www.konkoly.hu/cgi-bin/IBVS?4373"/>
    <hyperlink ref="P62" r:id="rId33" display="http://www.konkoly.hu/cgi-bin/IBVS?4373"/>
    <hyperlink ref="P63" r:id="rId34" display="http://www.konkoly.hu/cgi-bin/IBVS?4373"/>
    <hyperlink ref="P64" r:id="rId35" display="http://www.konkoly.hu/cgi-bin/IBVS?4373"/>
    <hyperlink ref="P65" r:id="rId36" display="http://www.konkoly.hu/cgi-bin/IBVS?4373"/>
    <hyperlink ref="P66" r:id="rId37" display="http://www.konkoly.hu/cgi-bin/IBVS?3048"/>
    <hyperlink ref="P67" r:id="rId38" display="http://www.konkoly.hu/cgi-bin/IBVS?4373"/>
    <hyperlink ref="P68" r:id="rId39" display="http://www.konkoly.hu/cgi-bin/IBVS?4373"/>
    <hyperlink ref="P70" r:id="rId40" display="http://www.konkoly.hu/cgi-bin/IBVS?4373"/>
    <hyperlink ref="P71" r:id="rId41" display="http://www.konkoly.hu/cgi-bin/IBVS?4373"/>
    <hyperlink ref="P72" r:id="rId42" display="http://www.konkoly.hu/cgi-bin/IBVS?4373"/>
    <hyperlink ref="P73" r:id="rId43" display="http://www.konkoly.hu/cgi-bin/IBVS?4373"/>
    <hyperlink ref="P75" r:id="rId44" display="http://www.konkoly.hu/cgi-bin/IBVS?4373"/>
    <hyperlink ref="P76" r:id="rId45" display="http://www.konkoly.hu/cgi-bin/IBVS?4373"/>
    <hyperlink ref="P77" r:id="rId46" display="http://www.konkoly.hu/cgi-bin/IBVS?4373"/>
    <hyperlink ref="P78" r:id="rId47" display="http://www.konkoly.hu/cgi-bin/IBVS?4373"/>
    <hyperlink ref="P79" r:id="rId48" display="http://www.konkoly.hu/cgi-bin/IBVS?4373"/>
    <hyperlink ref="P80" r:id="rId49" display="http://www.konkoly.hu/cgi-bin/IBVS?4373"/>
    <hyperlink ref="P16" r:id="rId50" display="http://www.bav-astro.de/sfs/BAVM_link.php?BAVMnr=132"/>
    <hyperlink ref="P17" r:id="rId51" display="http://www.bav-astro.de/sfs/BAVM_link.php?BAVMnr=132"/>
    <hyperlink ref="P19" r:id="rId52" display="http://www.bav-astro.de/sfs/BAVM_link.php?BAVMnr=132"/>
    <hyperlink ref="P20" r:id="rId53" display="http://www.bav-astro.de/sfs/BAVM_link.php?BAVMnr=152"/>
    <hyperlink ref="P21" r:id="rId54" display="http://www.bav-astro.de/sfs/BAVM_link.php?BAVMnr=152"/>
    <hyperlink ref="P22" r:id="rId55" display="http://www.bav-astro.de/sfs/BAVM_link.php?BAVMnr=172"/>
    <hyperlink ref="P23" r:id="rId56" display="http://www.bav-astro.de/sfs/BAVM_link.php?BAVMnr=220"/>
    <hyperlink ref="P24" r:id="rId57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2024-01-23T03:47:39Z</dcterms:modified>
</cp:coreProperties>
</file>