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ACD8931-9CC9-471D-B55C-31FEB27AA5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5" i="1" l="1"/>
  <c r="F16" i="1" s="1"/>
  <c r="Q37" i="1"/>
  <c r="E24" i="1"/>
  <c r="F24" i="1"/>
  <c r="E33" i="1"/>
  <c r="F33" i="1"/>
  <c r="D9" i="1"/>
  <c r="C9" i="1"/>
  <c r="E30" i="1"/>
  <c r="F30" i="1"/>
  <c r="E39" i="1"/>
  <c r="F39" i="1"/>
  <c r="Q35" i="1"/>
  <c r="Q33" i="1"/>
  <c r="Q32" i="1"/>
  <c r="Q27" i="1"/>
  <c r="Q26" i="1"/>
  <c r="Q25" i="1"/>
  <c r="Q24" i="1"/>
  <c r="Q23" i="1"/>
  <c r="Q22" i="1"/>
  <c r="G18" i="2"/>
  <c r="C18" i="2"/>
  <c r="E18" i="2"/>
  <c r="G17" i="2"/>
  <c r="C17" i="2"/>
  <c r="G28" i="2"/>
  <c r="C28" i="2"/>
  <c r="G16" i="2"/>
  <c r="C16" i="2"/>
  <c r="G27" i="2"/>
  <c r="C27" i="2"/>
  <c r="G15" i="2"/>
  <c r="C15" i="2"/>
  <c r="G26" i="2"/>
  <c r="C26" i="2"/>
  <c r="E26" i="2"/>
  <c r="G25" i="2"/>
  <c r="C25" i="2"/>
  <c r="G14" i="2"/>
  <c r="C14" i="2"/>
  <c r="G13" i="2"/>
  <c r="C13" i="2"/>
  <c r="E13" i="2"/>
  <c r="G12" i="2"/>
  <c r="C12" i="2"/>
  <c r="G11" i="2"/>
  <c r="C11" i="2"/>
  <c r="G24" i="2"/>
  <c r="C24" i="2"/>
  <c r="G23" i="2"/>
  <c r="C23" i="2"/>
  <c r="G22" i="2"/>
  <c r="C22" i="2"/>
  <c r="G21" i="2"/>
  <c r="C21" i="2"/>
  <c r="E21" i="2"/>
  <c r="G20" i="2"/>
  <c r="C20" i="2"/>
  <c r="G19" i="2"/>
  <c r="C19" i="2"/>
  <c r="H18" i="2"/>
  <c r="B18" i="2"/>
  <c r="D18" i="2"/>
  <c r="A18" i="2"/>
  <c r="H17" i="2"/>
  <c r="D17" i="2"/>
  <c r="B17" i="2"/>
  <c r="A17" i="2"/>
  <c r="H28" i="2"/>
  <c r="B28" i="2"/>
  <c r="D28" i="2"/>
  <c r="A28" i="2"/>
  <c r="H16" i="2"/>
  <c r="D16" i="2"/>
  <c r="B16" i="2"/>
  <c r="A16" i="2"/>
  <c r="H27" i="2"/>
  <c r="B27" i="2"/>
  <c r="D27" i="2"/>
  <c r="A27" i="2"/>
  <c r="H15" i="2"/>
  <c r="D15" i="2"/>
  <c r="B15" i="2"/>
  <c r="A15" i="2"/>
  <c r="H26" i="2"/>
  <c r="B26" i="2"/>
  <c r="D26" i="2"/>
  <c r="A26" i="2"/>
  <c r="H25" i="2"/>
  <c r="D25" i="2"/>
  <c r="B25" i="2"/>
  <c r="A2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Q39" i="1"/>
  <c r="Q36" i="1"/>
  <c r="C17" i="1"/>
  <c r="Q38" i="1"/>
  <c r="Q34" i="1"/>
  <c r="Q28" i="1"/>
  <c r="Q29" i="1"/>
  <c r="Q30" i="1"/>
  <c r="Q31" i="1"/>
  <c r="C7" i="1"/>
  <c r="E23" i="1"/>
  <c r="F23" i="1"/>
  <c r="G23" i="1"/>
  <c r="I23" i="1"/>
  <c r="C8" i="1"/>
  <c r="E26" i="1"/>
  <c r="F26" i="1"/>
  <c r="G26" i="1"/>
  <c r="I26" i="1"/>
  <c r="Q21" i="1"/>
  <c r="E23" i="2"/>
  <c r="E24" i="2"/>
  <c r="E20" i="2"/>
  <c r="E38" i="1"/>
  <c r="E32" i="1"/>
  <c r="F32" i="1"/>
  <c r="G32" i="1"/>
  <c r="I32" i="1"/>
  <c r="E21" i="1"/>
  <c r="F21" i="1"/>
  <c r="G21" i="1"/>
  <c r="E31" i="1"/>
  <c r="F31" i="1"/>
  <c r="G31" i="1"/>
  <c r="I31" i="1"/>
  <c r="U27" i="1"/>
  <c r="E25" i="1"/>
  <c r="E36" i="1"/>
  <c r="G30" i="1"/>
  <c r="I30" i="1"/>
  <c r="E28" i="1"/>
  <c r="E35" i="1"/>
  <c r="F35" i="1"/>
  <c r="G35" i="1"/>
  <c r="I35" i="1"/>
  <c r="G24" i="1"/>
  <c r="I24" i="1"/>
  <c r="E22" i="1"/>
  <c r="G39" i="1"/>
  <c r="K39" i="1"/>
  <c r="E34" i="1"/>
  <c r="F34" i="1"/>
  <c r="G34" i="1"/>
  <c r="K34" i="1"/>
  <c r="G33" i="1"/>
  <c r="I33" i="1"/>
  <c r="E27" i="1"/>
  <c r="F27" i="1"/>
  <c r="E29" i="1"/>
  <c r="F29" i="1"/>
  <c r="G29" i="1"/>
  <c r="I29" i="1"/>
  <c r="E37" i="1"/>
  <c r="F37" i="1"/>
  <c r="G37" i="1"/>
  <c r="I37" i="1"/>
  <c r="E25" i="2"/>
  <c r="E22" i="2"/>
  <c r="F25" i="1"/>
  <c r="G25" i="1"/>
  <c r="I25" i="1"/>
  <c r="E15" i="2"/>
  <c r="E14" i="2"/>
  <c r="F38" i="1"/>
  <c r="G38" i="1"/>
  <c r="J38" i="1"/>
  <c r="E17" i="2"/>
  <c r="E16" i="2"/>
  <c r="F36" i="1"/>
  <c r="G36" i="1"/>
  <c r="K36" i="1"/>
  <c r="F22" i="1"/>
  <c r="G22" i="1"/>
  <c r="E19" i="2"/>
  <c r="H21" i="1"/>
  <c r="E27" i="2"/>
  <c r="E11" i="2"/>
  <c r="F28" i="1"/>
  <c r="G28" i="1"/>
  <c r="I28" i="1"/>
  <c r="E28" i="2"/>
  <c r="E12" i="2"/>
  <c r="I22" i="1"/>
  <c r="C11" i="1"/>
  <c r="C12" i="1"/>
  <c r="C16" i="1" l="1"/>
  <c r="D18" i="1" s="1"/>
  <c r="O28" i="1"/>
  <c r="O35" i="1"/>
  <c r="C15" i="1"/>
  <c r="O23" i="1"/>
  <c r="O34" i="1"/>
  <c r="O29" i="1"/>
  <c r="O37" i="1"/>
  <c r="O38" i="1"/>
  <c r="O27" i="1"/>
  <c r="O22" i="1"/>
  <c r="O24" i="1"/>
  <c r="O30" i="1"/>
  <c r="O31" i="1"/>
  <c r="O32" i="1"/>
  <c r="O33" i="1"/>
  <c r="O26" i="1"/>
  <c r="O39" i="1"/>
  <c r="O21" i="1"/>
  <c r="O36" i="1"/>
  <c r="O25" i="1"/>
  <c r="C18" i="1" l="1"/>
  <c r="F17" i="1"/>
  <c r="F18" i="1" s="1"/>
</calcChain>
</file>

<file path=xl/sharedStrings.xml><?xml version="1.0" encoding="utf-8"?>
<sst xmlns="http://schemas.openxmlformats.org/spreadsheetml/2006/main" count="244" uniqueCount="144">
  <si>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</si>
  <si>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</si>
  <si>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</si>
  <si>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</si>
  <si>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</si>
  <si>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</si>
  <si>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</si>
  <si>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</si>
  <si>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</si>
  <si>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</si>
  <si>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</si>
  <si>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</si>
  <si>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</si>
  <si>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</si>
  <si>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</si>
  <si>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</si>
  <si>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</si>
  <si>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</si>
  <si>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</si>
  <si>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</si>
  <si>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</si>
  <si>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</si>
  <si>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</si>
  <si>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</si>
  <si>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</si>
  <si>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</si>
  <si>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</si>
  <si>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</si>
  <si>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</si>
  <si>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Bull.61</t>
  </si>
  <si>
    <t>B</t>
  </si>
  <si>
    <t>BBSAG Bull.69</t>
  </si>
  <si>
    <t>BBSAG Bull.89</t>
  </si>
  <si>
    <t>IBVS 5287</t>
  </si>
  <si>
    <t>I</t>
  </si>
  <si>
    <t># of data points:</t>
  </si>
  <si>
    <t>EA/SD</t>
  </si>
  <si>
    <t>TV Cep / ??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</si>
  <si>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</si>
  <si>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</si>
  <si>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</si>
  <si>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</si>
  <si>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</si>
  <si>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</si>
  <si>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</si>
  <si>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</si>
  <si>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IBVS 5920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</si>
  <si>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</si>
  <si>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</si>
  <si>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</si>
  <si>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</si>
  <si>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</si>
  <si>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</si>
  <si>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</si>
  <si>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</si>
  <si>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</si>
  <si>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</si>
  <si>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</si>
  <si>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2426793.436 </t>
  </si>
  <si>
    <t> 26.03.1932 22:27 </t>
  </si>
  <si>
    <t> -0.101 </t>
  </si>
  <si>
    <t>P </t>
  </si>
  <si>
    <t> R.Tschäpe </t>
  </si>
  <si>
    <t> MVS 669 </t>
  </si>
  <si>
    <t>2426828.392 </t>
  </si>
  <si>
    <t> 30.04.1932 21:24 </t>
  </si>
  <si>
    <t> 0.141 </t>
  </si>
  <si>
    <t>2427333.514 </t>
  </si>
  <si>
    <t> 18.09.1933 00:20 </t>
  </si>
  <si>
    <t> -0.015 </t>
  </si>
  <si>
    <t>2427360.467 </t>
  </si>
  <si>
    <t> 14.10.1933 23:12 </t>
  </si>
  <si>
    <t> -0.061 </t>
  </si>
  <si>
    <t>2427684.525 </t>
  </si>
  <si>
    <t> 04.09.1934 00:36 </t>
  </si>
  <si>
    <t> 0.002 </t>
  </si>
  <si>
    <t>2427764.358 </t>
  </si>
  <si>
    <t> 22.11.1934 20:35 </t>
  </si>
  <si>
    <t> 0.765 </t>
  </si>
  <si>
    <t>2445145.529 </t>
  </si>
  <si>
    <t> 25.06.1982 00:41 </t>
  </si>
  <si>
    <t> 15.424 </t>
  </si>
  <si>
    <t>V </t>
  </si>
  <si>
    <t> K.Locher </t>
  </si>
  <si>
    <t> BBS 61 </t>
  </si>
  <si>
    <t>2445172.531 </t>
  </si>
  <si>
    <t> 22.07.1982 00:44 </t>
  </si>
  <si>
    <t> 15.426 </t>
  </si>
  <si>
    <t>2445635.480 </t>
  </si>
  <si>
    <t> 27.10.1983 23:31 </t>
  </si>
  <si>
    <t> 15.525 </t>
  </si>
  <si>
    <t> BBS 69 </t>
  </si>
  <si>
    <t>2447386.553 </t>
  </si>
  <si>
    <t> 13.08.1988 01:16 </t>
  </si>
  <si>
    <t> 15.483 </t>
  </si>
  <si>
    <t> BBS 89 </t>
  </si>
  <si>
    <t>2451486.61 </t>
  </si>
  <si>
    <t> 04.11.1999 02:38 </t>
  </si>
  <si>
    <t> 15.46 </t>
  </si>
  <si>
    <t> P.Guilbault </t>
  </si>
  <si>
    <t> BBS 123 </t>
  </si>
  <si>
    <t>2451490.53 </t>
  </si>
  <si>
    <t> 08.11.1999 00:43 </t>
  </si>
  <si>
    <t> 15.52 </t>
  </si>
  <si>
    <t>2451841.4931 </t>
  </si>
  <si>
    <t> 23.10.2000 23:50 </t>
  </si>
  <si>
    <t> 15.4935 </t>
  </si>
  <si>
    <t>E </t>
  </si>
  <si>
    <t>?</t>
  </si>
  <si>
    <t> M.Zeida </t>
  </si>
  <si>
    <t>IBVS 5287 </t>
  </si>
  <si>
    <t>2451841.506 </t>
  </si>
  <si>
    <t> 24.10.2000 00:08 </t>
  </si>
  <si>
    <t> 15.506 </t>
  </si>
  <si>
    <t> BBS 124 </t>
  </si>
  <si>
    <t>2451899.34506 </t>
  </si>
  <si>
    <t> 20.12.2000 20:16 </t>
  </si>
  <si>
    <t> 15.48928 </t>
  </si>
  <si>
    <t>C </t>
  </si>
  <si>
    <t>o</t>
  </si>
  <si>
    <t> J.Šafár </t>
  </si>
  <si>
    <t>OEJV 0074 </t>
  </si>
  <si>
    <t>2452196.338 </t>
  </si>
  <si>
    <t> 13.10.2001 20:06 </t>
  </si>
  <si>
    <t> 15.487 </t>
  </si>
  <si>
    <t> R.Diethelm </t>
  </si>
  <si>
    <t> BBS 126 </t>
  </si>
  <si>
    <t>2454001.4597 </t>
  </si>
  <si>
    <t> 22.09.2006 23:01 </t>
  </si>
  <si>
    <t> 15.4942 </t>
  </si>
  <si>
    <t>-I</t>
  </si>
  <si>
    <t> F. Agerer </t>
  </si>
  <si>
    <t>BAVM 183 </t>
  </si>
  <si>
    <t>2455127.737 </t>
  </si>
  <si>
    <t> 23.10.2009 05:41 </t>
  </si>
  <si>
    <t>8749</t>
  </si>
  <si>
    <t> 15.504 </t>
  </si>
  <si>
    <t>IBVS 5920 </t>
  </si>
  <si>
    <t>II</t>
  </si>
  <si>
    <t>BAD?</t>
  </si>
  <si>
    <t>vis / CCD</t>
  </si>
  <si>
    <t>Add cycle</t>
  </si>
  <si>
    <t>Old Cycle</t>
  </si>
  <si>
    <t>Local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</si>
</sst>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4" xfId="0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Cep - O-C Diagr.</a:t>
            </a:r>
          </a:p>
        </c:rich>
      </c:tx>
      <c:layout>
        <c:manualLayout>
          <c:xMode val="edge"/>
          <c:yMode val="edge"/>
          <c:x val="0.389134243682094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87976361704354"/>
          <c:y val="0.14769252958613219"/>
          <c:w val="0.8326003129019722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F-42AD-93CE-7E3A546391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-0.10137399999803165</c:v>
                </c:pt>
                <c:pt idx="2">
                  <c:v>0.14088800000172341</c:v>
                </c:pt>
                <c:pt idx="3">
                  <c:v>-1.4854000000923406E-2</c:v>
                </c:pt>
                <c:pt idx="4">
                  <c:v>-6.1427999997249572E-2</c:v>
                </c:pt>
                <c:pt idx="5">
                  <c:v>1.684000002569519E-3</c:v>
                </c:pt>
                <c:pt idx="7">
                  <c:v>-4.5299999983399175E-3</c:v>
                </c:pt>
                <c:pt idx="8">
                  <c:v>-2.1039999992353842E-3</c:v>
                </c:pt>
                <c:pt idx="9">
                  <c:v>9.7056000005977694E-2</c:v>
                </c:pt>
                <c:pt idx="10">
                  <c:v>5.4828000000270549E-2</c:v>
                </c:pt>
                <c:pt idx="11">
                  <c:v>3.366200000164099E-2</c:v>
                </c:pt>
                <c:pt idx="12">
                  <c:v>9.6579999997629784E-2</c:v>
                </c:pt>
                <c:pt idx="14">
                  <c:v>7.811799999763025E-2</c:v>
                </c:pt>
                <c:pt idx="16">
                  <c:v>5.8574000002408866E-2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F-42AD-93CE-7E3A546391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7">
                  <c:v>6.5897999993467238E-2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F-42AD-93CE-7E3A546391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3">
                  <c:v>6.5217999996093567E-2</c:v>
                </c:pt>
                <c:pt idx="15">
                  <c:v>6.0947999998461455E-2</c:v>
                </c:pt>
                <c:pt idx="18">
                  <c:v>7.5254000003042165E-2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F-42AD-93CE-7E3A546391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2F-42AD-93CE-7E3A546391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2F-42AD-93CE-7E3A546391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5.1999999999999998E-3</c:v>
                  </c:pt>
                  <c:pt idx="14">
                    <c:v>0</c:v>
                  </c:pt>
                  <c:pt idx="15">
                    <c:v>3.5000000000000001E-3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2F-42AD-93CE-7E3A546391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-1.9790277330846776E-2</c:v>
                </c:pt>
                <c:pt idx="1">
                  <c:v>-5.3474147248921272E-3</c:v>
                </c:pt>
                <c:pt idx="2">
                  <c:v>-5.2550296762399664E-3</c:v>
                </c:pt>
                <c:pt idx="3">
                  <c:v>-3.9103139680807183E-3</c:v>
                </c:pt>
                <c:pt idx="4">
                  <c:v>-3.8384589302401483E-3</c:v>
                </c:pt>
                <c:pt idx="5">
                  <c:v>-2.9761984761533036E-3</c:v>
                </c:pt>
                <c:pt idx="6">
                  <c:v>-2.7657658653344915E-3</c:v>
                </c:pt>
                <c:pt idx="7">
                  <c:v>4.349348099588414E-2</c:v>
                </c:pt>
                <c:pt idx="8">
                  <c:v>4.3565336033724714E-2</c:v>
                </c:pt>
                <c:pt idx="9">
                  <c:v>4.4797136682420205E-2</c:v>
                </c:pt>
                <c:pt idx="10">
                  <c:v>4.9457449136651482E-2</c:v>
                </c:pt>
                <c:pt idx="11">
                  <c:v>6.0369149883012396E-2</c:v>
                </c:pt>
                <c:pt idx="12">
                  <c:v>6.0379414888418179E-2</c:v>
                </c:pt>
                <c:pt idx="13">
                  <c:v>6.1313530380345607E-2</c:v>
                </c:pt>
                <c:pt idx="14">
                  <c:v>6.1313530380345607E-2</c:v>
                </c:pt>
                <c:pt idx="15">
                  <c:v>6.1467505461432537E-2</c:v>
                </c:pt>
                <c:pt idx="16">
                  <c:v>6.2257910877678818E-2</c:v>
                </c:pt>
                <c:pt idx="17">
                  <c:v>6.7061933407591229E-2</c:v>
                </c:pt>
                <c:pt idx="18">
                  <c:v>7.0059314986083601E-2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2F-42AD-93CE-7E3A546391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1407</c:v>
                </c:pt>
                <c:pt idx="2">
                  <c:v>1416</c:v>
                </c:pt>
                <c:pt idx="3">
                  <c:v>1547</c:v>
                </c:pt>
                <c:pt idx="4">
                  <c:v>1554</c:v>
                </c:pt>
                <c:pt idx="5">
                  <c:v>1638</c:v>
                </c:pt>
                <c:pt idx="6">
                  <c:v>1658.5</c:v>
                </c:pt>
                <c:pt idx="7">
                  <c:v>6165</c:v>
                </c:pt>
                <c:pt idx="8">
                  <c:v>6172</c:v>
                </c:pt>
                <c:pt idx="9">
                  <c:v>6292</c:v>
                </c:pt>
                <c:pt idx="10">
                  <c:v>6746</c:v>
                </c:pt>
                <c:pt idx="11">
                  <c:v>7809</c:v>
                </c:pt>
                <c:pt idx="12">
                  <c:v>7810</c:v>
                </c:pt>
                <c:pt idx="13">
                  <c:v>7901</c:v>
                </c:pt>
                <c:pt idx="14">
                  <c:v>7901</c:v>
                </c:pt>
                <c:pt idx="15">
                  <c:v>7916</c:v>
                </c:pt>
                <c:pt idx="16">
                  <c:v>7993</c:v>
                </c:pt>
                <c:pt idx="17">
                  <c:v>8461</c:v>
                </c:pt>
                <c:pt idx="18">
                  <c:v>8753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6">
                  <c:v>0.76450299999851268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2F-42AD-93CE-7E3A54639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94072"/>
        <c:axId val="1"/>
      </c:scatterChart>
      <c:valAx>
        <c:axId val="91489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245593750120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5814977973568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9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2762110683301"/>
          <c:y val="0.92000129214617399"/>
          <c:w val="0.7063153229194368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19</xdr:col>
      <xdr:colOff>228600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F82438-33C0-C08A-A588-515A9837C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87" TargetMode="External"/><Relationship Id="rId4" Type="http://schemas.openxmlformats.org/officeDocument/2006/relationships/hyperlink" Target="http://www.konkoly.hu/cgi-bin/IBVS?5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12" t="s">
        <v>36</v>
      </c>
    </row>
    <row r="4" spans="1:6" ht="14.25" thickTop="1" thickBot="1" x14ac:dyDescent="0.25">
      <c r="A4" s="7" t="s">
        <v>0</v>
      </c>
      <c r="C4" s="3">
        <v>21366.623</v>
      </c>
      <c r="D4" s="4">
        <v>3.8570820000000001</v>
      </c>
    </row>
    <row r="5" spans="1:6" ht="13.5" thickTop="1" x14ac:dyDescent="0.2">
      <c r="A5" s="15" t="s">
        <v>38</v>
      </c>
      <c r="B5" s="16"/>
      <c r="C5" s="17">
        <v>-9.5</v>
      </c>
      <c r="D5" s="16" t="s">
        <v>39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21366.623</v>
      </c>
    </row>
    <row r="8" spans="1:6" x14ac:dyDescent="0.2">
      <c r="A8" t="s">
        <v>3</v>
      </c>
      <c r="C8">
        <f>+D4</f>
        <v>3.8570820000000001</v>
      </c>
    </row>
    <row r="9" spans="1:6" x14ac:dyDescent="0.2">
      <c r="A9" s="31" t="s">
        <v>44</v>
      </c>
      <c r="B9" s="32">
        <v>21</v>
      </c>
      <c r="C9" s="29" t="str">
        <f>"F"&amp;B9</f>
        <v>F21</v>
      </c>
      <c r="D9" s="30" t="str">
        <f>"G"&amp;B9</f>
        <v>G21</v>
      </c>
    </row>
    <row r="10" spans="1:6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6" x14ac:dyDescent="0.2">
      <c r="A11" s="16" t="s">
        <v>16</v>
      </c>
      <c r="B11" s="16"/>
      <c r="C11" s="28">
        <f ca="1">INTERCEPT(INDIRECT($D$9):G992,INDIRECT($C$9):F992)</f>
        <v>-1.9790277330846776E-2</v>
      </c>
      <c r="D11" s="5"/>
      <c r="E11" s="16"/>
    </row>
    <row r="12" spans="1:6" x14ac:dyDescent="0.2">
      <c r="A12" s="16" t="s">
        <v>17</v>
      </c>
      <c r="B12" s="16"/>
      <c r="C12" s="28">
        <f ca="1">SLOPE(INDIRECT($D$9):G992,INDIRECT($C$9):F992)</f>
        <v>1.026500540579577E-5</v>
      </c>
      <c r="D12" s="5"/>
      <c r="E12" s="16"/>
    </row>
    <row r="13" spans="1:6" x14ac:dyDescent="0.2">
      <c r="A13" s="16" t="s">
        <v>19</v>
      </c>
      <c r="B13" s="16"/>
      <c r="C13" s="5" t="s">
        <v>14</v>
      </c>
    </row>
    <row r="14" spans="1:6" x14ac:dyDescent="0.2">
      <c r="A14" s="16"/>
      <c r="B14" s="16"/>
      <c r="C14" s="16"/>
      <c r="E14" s="20" t="s">
        <v>141</v>
      </c>
      <c r="F14" s="54">
        <v>1</v>
      </c>
    </row>
    <row r="15" spans="1:6" x14ac:dyDescent="0.2">
      <c r="A15" s="18" t="s">
        <v>18</v>
      </c>
      <c r="B15" s="16"/>
      <c r="C15" s="19">
        <f ca="1">(C7+C11)+(C8+C12)*INT(MAX(F21:F3533))</f>
        <v>55127.731805314979</v>
      </c>
      <c r="E15" s="20" t="s">
        <v>40</v>
      </c>
      <c r="F15" s="55">
        <f ca="1">NOW()+15018.5+$C$5/24</f>
        <v>60332.702612152774</v>
      </c>
    </row>
    <row r="16" spans="1:6" x14ac:dyDescent="0.2">
      <c r="A16" s="21" t="s">
        <v>4</v>
      </c>
      <c r="B16" s="16"/>
      <c r="C16" s="22">
        <f ca="1">+C8+C12</f>
        <v>3.8570922650054058</v>
      </c>
      <c r="E16" s="20" t="s">
        <v>142</v>
      </c>
      <c r="F16" s="28">
        <f ca="1">ROUND(2*(F15-$C$7)/$C$8,0)/2+F14</f>
        <v>10103.5</v>
      </c>
    </row>
    <row r="17" spans="1:30" ht="13.5" thickBot="1" x14ac:dyDescent="0.25">
      <c r="A17" s="20" t="s">
        <v>35</v>
      </c>
      <c r="B17" s="16"/>
      <c r="C17" s="16">
        <f>COUNT(C21:C2191)</f>
        <v>19</v>
      </c>
      <c r="E17" s="20" t="s">
        <v>41</v>
      </c>
      <c r="F17" s="30">
        <f ca="1">ROUND(2*(F15-$C$15)/$C$16,0)/2+F14</f>
        <v>1350.5</v>
      </c>
    </row>
    <row r="18" spans="1:30" ht="14.25" thickTop="1" thickBot="1" x14ac:dyDescent="0.25">
      <c r="A18" s="21" t="s">
        <v>5</v>
      </c>
      <c r="B18" s="16"/>
      <c r="C18" s="24">
        <f ca="1">+C15</f>
        <v>55127.731805314979</v>
      </c>
      <c r="D18" s="25">
        <f ca="1">+C16</f>
        <v>3.8570922650054058</v>
      </c>
      <c r="E18" s="20" t="s">
        <v>42</v>
      </c>
      <c r="F18" s="23">
        <f ca="1">+$C$15+$C$16*F17-15018.5-$C$5/24</f>
        <v>45318.630742538116</v>
      </c>
    </row>
    <row r="19" spans="1:30" ht="13.5" thickTop="1" x14ac:dyDescent="0.2">
      <c r="F19" s="56" t="s">
        <v>143</v>
      </c>
    </row>
    <row r="20" spans="1:30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3" t="s">
        <v>139</v>
      </c>
    </row>
    <row r="21" spans="1:30" x14ac:dyDescent="0.2">
      <c r="A21" t="s">
        <v>12</v>
      </c>
      <c r="B21" s="5"/>
      <c r="C21" s="13">
        <v>21366.623</v>
      </c>
      <c r="D21" s="10" t="s">
        <v>14</v>
      </c>
      <c r="E21">
        <f t="shared" ref="E21:E39" si="0">+(C21-C$7)/C$8</f>
        <v>0</v>
      </c>
      <c r="F21">
        <f t="shared" ref="F21:F39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39" ca="1" si="3">+C$11+C$12*F21</f>
        <v>-1.9790277330846776E-2</v>
      </c>
      <c r="Q21" s="2">
        <f t="shared" ref="Q21:Q39" si="4">+C21-15018.5</f>
        <v>6348.1229999999996</v>
      </c>
    </row>
    <row r="22" spans="1:30" x14ac:dyDescent="0.2">
      <c r="A22" s="50" t="s">
        <v>63</v>
      </c>
      <c r="B22" s="51" t="s">
        <v>34</v>
      </c>
      <c r="C22" s="52">
        <v>26793.436000000002</v>
      </c>
      <c r="D22" s="52" t="s">
        <v>57</v>
      </c>
      <c r="E22">
        <f t="shared" si="0"/>
        <v>1406.9737174371719</v>
      </c>
      <c r="F22">
        <f t="shared" si="1"/>
        <v>1407</v>
      </c>
      <c r="G22">
        <f t="shared" si="2"/>
        <v>-0.10137399999803165</v>
      </c>
      <c r="I22">
        <f>+G22</f>
        <v>-0.10137399999803165</v>
      </c>
      <c r="O22">
        <f t="shared" ca="1" si="3"/>
        <v>-5.3474147248921272E-3</v>
      </c>
      <c r="Q22" s="2">
        <f t="shared" si="4"/>
        <v>11774.936000000002</v>
      </c>
    </row>
    <row r="23" spans="1:30" x14ac:dyDescent="0.2">
      <c r="A23" s="50" t="s">
        <v>63</v>
      </c>
      <c r="B23" s="51" t="s">
        <v>34</v>
      </c>
      <c r="C23" s="52">
        <v>26828.392</v>
      </c>
      <c r="D23" s="52" t="s">
        <v>57</v>
      </c>
      <c r="E23">
        <f t="shared" si="0"/>
        <v>1416.0365270948348</v>
      </c>
      <c r="F23">
        <f t="shared" si="1"/>
        <v>1416</v>
      </c>
      <c r="G23">
        <f t="shared" si="2"/>
        <v>0.14088800000172341</v>
      </c>
      <c r="I23">
        <f>+G23</f>
        <v>0.14088800000172341</v>
      </c>
      <c r="O23">
        <f t="shared" ca="1" si="3"/>
        <v>-5.2550296762399664E-3</v>
      </c>
      <c r="Q23" s="2">
        <f t="shared" si="4"/>
        <v>11809.892</v>
      </c>
    </row>
    <row r="24" spans="1:30" x14ac:dyDescent="0.2">
      <c r="A24" s="50" t="s">
        <v>63</v>
      </c>
      <c r="B24" s="51" t="s">
        <v>34</v>
      </c>
      <c r="C24" s="52">
        <v>27333.513999999999</v>
      </c>
      <c r="D24" s="52" t="s">
        <v>57</v>
      </c>
      <c r="E24">
        <f t="shared" si="0"/>
        <v>1546.996148902201</v>
      </c>
      <c r="F24">
        <f t="shared" si="1"/>
        <v>1547</v>
      </c>
      <c r="G24">
        <f t="shared" si="2"/>
        <v>-1.4854000000923406E-2</v>
      </c>
      <c r="I24">
        <f>+G24</f>
        <v>-1.4854000000923406E-2</v>
      </c>
      <c r="O24">
        <f t="shared" ca="1" si="3"/>
        <v>-3.9103139680807183E-3</v>
      </c>
      <c r="Q24" s="2">
        <f t="shared" si="4"/>
        <v>12315.013999999999</v>
      </c>
    </row>
    <row r="25" spans="1:30" x14ac:dyDescent="0.2">
      <c r="A25" s="50" t="s">
        <v>63</v>
      </c>
      <c r="B25" s="51" t="s">
        <v>34</v>
      </c>
      <c r="C25" s="52">
        <v>27360.467000000001</v>
      </c>
      <c r="D25" s="52" t="s">
        <v>57</v>
      </c>
      <c r="E25">
        <f t="shared" si="0"/>
        <v>1553.984073970945</v>
      </c>
      <c r="F25">
        <f t="shared" si="1"/>
        <v>1554</v>
      </c>
      <c r="G25">
        <f t="shared" si="2"/>
        <v>-6.1427999997249572E-2</v>
      </c>
      <c r="I25">
        <f>+G25</f>
        <v>-6.1427999997249572E-2</v>
      </c>
      <c r="O25">
        <f t="shared" ca="1" si="3"/>
        <v>-3.8384589302401483E-3</v>
      </c>
      <c r="Q25" s="2">
        <f t="shared" si="4"/>
        <v>12341.967000000001</v>
      </c>
    </row>
    <row r="26" spans="1:30" x14ac:dyDescent="0.2">
      <c r="A26" s="50" t="s">
        <v>63</v>
      </c>
      <c r="B26" s="51" t="s">
        <v>34</v>
      </c>
      <c r="C26" s="52">
        <v>27684.525000000001</v>
      </c>
      <c r="D26" s="52" t="s">
        <v>57</v>
      </c>
      <c r="E26">
        <f t="shared" si="0"/>
        <v>1638.0004365994816</v>
      </c>
      <c r="F26">
        <f t="shared" si="1"/>
        <v>1638</v>
      </c>
      <c r="G26">
        <f t="shared" si="2"/>
        <v>1.684000002569519E-3</v>
      </c>
      <c r="I26">
        <f>+G26</f>
        <v>1.684000002569519E-3</v>
      </c>
      <c r="O26">
        <f t="shared" ca="1" si="3"/>
        <v>-2.9761984761533036E-3</v>
      </c>
      <c r="Q26" s="2">
        <f t="shared" si="4"/>
        <v>12666.025000000001</v>
      </c>
    </row>
    <row r="27" spans="1:30" x14ac:dyDescent="0.2">
      <c r="A27" s="50" t="s">
        <v>63</v>
      </c>
      <c r="B27" s="51" t="s">
        <v>138</v>
      </c>
      <c r="C27" s="52">
        <v>27764.358</v>
      </c>
      <c r="D27" s="52" t="s">
        <v>57</v>
      </c>
      <c r="E27">
        <f t="shared" si="0"/>
        <v>1658.6982076087572</v>
      </c>
      <c r="F27">
        <f t="shared" si="1"/>
        <v>1658.5</v>
      </c>
      <c r="O27">
        <f t="shared" ca="1" si="3"/>
        <v>-2.7657658653344915E-3</v>
      </c>
      <c r="Q27" s="2">
        <f t="shared" si="4"/>
        <v>12745.858</v>
      </c>
      <c r="U27">
        <f>+C27-(C$7+F27*C$8)</f>
        <v>0.76450299999851268</v>
      </c>
    </row>
    <row r="28" spans="1:30" x14ac:dyDescent="0.2">
      <c r="A28" t="s">
        <v>29</v>
      </c>
      <c r="B28" s="5"/>
      <c r="C28" s="13">
        <v>45145.529000000002</v>
      </c>
      <c r="D28" s="10"/>
      <c r="E28">
        <f t="shared" si="0"/>
        <v>6164.9988255370254</v>
      </c>
      <c r="F28">
        <f t="shared" si="1"/>
        <v>6165</v>
      </c>
      <c r="G28">
        <f t="shared" ref="G28:G39" si="5">+C28-(C$7+F28*C$8)</f>
        <v>-4.5299999983399175E-3</v>
      </c>
      <c r="I28">
        <f t="shared" ref="I28:I33" si="6">+G28</f>
        <v>-4.5299999983399175E-3</v>
      </c>
      <c r="O28">
        <f t="shared" ca="1" si="3"/>
        <v>4.349348099588414E-2</v>
      </c>
      <c r="Q28" s="2">
        <f t="shared" si="4"/>
        <v>30127.029000000002</v>
      </c>
      <c r="AA28">
        <v>6</v>
      </c>
      <c r="AB28" t="s">
        <v>28</v>
      </c>
      <c r="AD28" t="s">
        <v>30</v>
      </c>
    </row>
    <row r="29" spans="1:30" x14ac:dyDescent="0.2">
      <c r="A29" t="s">
        <v>29</v>
      </c>
      <c r="B29" s="5"/>
      <c r="C29" s="13">
        <v>45172.531000000003</v>
      </c>
      <c r="D29" s="10"/>
      <c r="E29">
        <f t="shared" si="0"/>
        <v>6171.9994545099125</v>
      </c>
      <c r="F29">
        <f t="shared" si="1"/>
        <v>6172</v>
      </c>
      <c r="G29">
        <f t="shared" si="5"/>
        <v>-2.1039999992353842E-3</v>
      </c>
      <c r="I29">
        <f t="shared" si="6"/>
        <v>-2.1039999992353842E-3</v>
      </c>
      <c r="O29">
        <f t="shared" ca="1" si="3"/>
        <v>4.3565336033724714E-2</v>
      </c>
      <c r="Q29" s="2">
        <f t="shared" si="4"/>
        <v>30154.031000000003</v>
      </c>
      <c r="AA29">
        <v>8</v>
      </c>
      <c r="AB29" t="s">
        <v>28</v>
      </c>
      <c r="AD29" t="s">
        <v>30</v>
      </c>
    </row>
    <row r="30" spans="1:30" x14ac:dyDescent="0.2">
      <c r="A30" t="s">
        <v>31</v>
      </c>
      <c r="B30" s="5"/>
      <c r="C30" s="13">
        <v>45635.48</v>
      </c>
      <c r="D30" s="10"/>
      <c r="E30">
        <f t="shared" si="0"/>
        <v>6292.0251630636849</v>
      </c>
      <c r="F30">
        <f t="shared" si="1"/>
        <v>6292</v>
      </c>
      <c r="G30">
        <f t="shared" si="5"/>
        <v>9.7056000005977694E-2</v>
      </c>
      <c r="I30">
        <f t="shared" si="6"/>
        <v>9.7056000005977694E-2</v>
      </c>
      <c r="O30">
        <f t="shared" ca="1" si="3"/>
        <v>4.4797136682420205E-2</v>
      </c>
      <c r="Q30" s="2">
        <f t="shared" si="4"/>
        <v>30616.980000000003</v>
      </c>
      <c r="AA30">
        <v>8</v>
      </c>
      <c r="AB30" t="s">
        <v>28</v>
      </c>
      <c r="AD30" t="s">
        <v>30</v>
      </c>
    </row>
    <row r="31" spans="1:30" x14ac:dyDescent="0.2">
      <c r="A31" t="s">
        <v>32</v>
      </c>
      <c r="B31" s="5"/>
      <c r="C31" s="13">
        <v>47386.553</v>
      </c>
      <c r="D31" s="10"/>
      <c r="E31">
        <f t="shared" si="0"/>
        <v>6746.0142148909463</v>
      </c>
      <c r="F31">
        <f t="shared" si="1"/>
        <v>6746</v>
      </c>
      <c r="G31">
        <f t="shared" si="5"/>
        <v>5.4828000000270549E-2</v>
      </c>
      <c r="I31">
        <f t="shared" si="6"/>
        <v>5.4828000000270549E-2</v>
      </c>
      <c r="O31">
        <f t="shared" ca="1" si="3"/>
        <v>4.9457449136651482E-2</v>
      </c>
      <c r="Q31" s="2">
        <f t="shared" si="4"/>
        <v>32368.053</v>
      </c>
      <c r="AA31">
        <v>6</v>
      </c>
      <c r="AB31" t="s">
        <v>28</v>
      </c>
      <c r="AD31" t="s">
        <v>30</v>
      </c>
    </row>
    <row r="32" spans="1:30" x14ac:dyDescent="0.2">
      <c r="A32" s="50" t="s">
        <v>100</v>
      </c>
      <c r="B32" s="51" t="s">
        <v>34</v>
      </c>
      <c r="C32" s="52">
        <v>51486.61</v>
      </c>
      <c r="D32" s="52" t="s">
        <v>57</v>
      </c>
      <c r="E32">
        <f t="shared" si="0"/>
        <v>7809.0087273228828</v>
      </c>
      <c r="F32">
        <f t="shared" si="1"/>
        <v>7809</v>
      </c>
      <c r="G32">
        <f t="shared" si="5"/>
        <v>3.366200000164099E-2</v>
      </c>
      <c r="I32">
        <f t="shared" si="6"/>
        <v>3.366200000164099E-2</v>
      </c>
      <c r="O32">
        <f t="shared" ca="1" si="3"/>
        <v>6.0369149883012396E-2</v>
      </c>
      <c r="Q32" s="2">
        <f t="shared" si="4"/>
        <v>36468.11</v>
      </c>
    </row>
    <row r="33" spans="1:18" x14ac:dyDescent="0.2">
      <c r="A33" s="50" t="s">
        <v>100</v>
      </c>
      <c r="B33" s="51" t="s">
        <v>34</v>
      </c>
      <c r="C33" s="52">
        <v>51490.53</v>
      </c>
      <c r="D33" s="52" t="s">
        <v>57</v>
      </c>
      <c r="E33">
        <f t="shared" si="0"/>
        <v>7810.0250396543288</v>
      </c>
      <c r="F33">
        <f t="shared" si="1"/>
        <v>7810</v>
      </c>
      <c r="G33">
        <f t="shared" si="5"/>
        <v>9.6579999997629784E-2</v>
      </c>
      <c r="I33">
        <f t="shared" si="6"/>
        <v>9.6579999997629784E-2</v>
      </c>
      <c r="O33">
        <f t="shared" ca="1" si="3"/>
        <v>6.0379414888418179E-2</v>
      </c>
      <c r="Q33" s="2">
        <f t="shared" si="4"/>
        <v>36472.03</v>
      </c>
    </row>
    <row r="34" spans="1:18" x14ac:dyDescent="0.2">
      <c r="A34" t="s">
        <v>33</v>
      </c>
      <c r="B34" s="5" t="s">
        <v>34</v>
      </c>
      <c r="C34" s="14">
        <v>51841.4931</v>
      </c>
      <c r="D34" s="11">
        <v>5.1999999999999998E-3</v>
      </c>
      <c r="E34">
        <f t="shared" si="0"/>
        <v>7901.0169086371507</v>
      </c>
      <c r="F34">
        <f t="shared" si="1"/>
        <v>7901</v>
      </c>
      <c r="G34">
        <f t="shared" si="5"/>
        <v>6.5217999996093567E-2</v>
      </c>
      <c r="K34">
        <f>+G34</f>
        <v>6.5217999996093567E-2</v>
      </c>
      <c r="O34">
        <f t="shared" ca="1" si="3"/>
        <v>6.1313530380345607E-2</v>
      </c>
      <c r="Q34" s="2">
        <f t="shared" si="4"/>
        <v>36822.9931</v>
      </c>
      <c r="R34" t="s">
        <v>49</v>
      </c>
    </row>
    <row r="35" spans="1:18" x14ac:dyDescent="0.2">
      <c r="A35" s="50" t="s">
        <v>114</v>
      </c>
      <c r="B35" s="51" t="s">
        <v>34</v>
      </c>
      <c r="C35" s="52">
        <v>51841.506000000001</v>
      </c>
      <c r="D35" s="52" t="s">
        <v>57</v>
      </c>
      <c r="E35">
        <f t="shared" si="0"/>
        <v>7901.0202531343648</v>
      </c>
      <c r="F35">
        <f t="shared" si="1"/>
        <v>7901</v>
      </c>
      <c r="G35">
        <f t="shared" si="5"/>
        <v>7.811799999763025E-2</v>
      </c>
      <c r="I35">
        <f>+G35</f>
        <v>7.811799999763025E-2</v>
      </c>
      <c r="O35">
        <f t="shared" ca="1" si="3"/>
        <v>6.1313530380345607E-2</v>
      </c>
      <c r="Q35" s="2">
        <f t="shared" si="4"/>
        <v>36823.006000000001</v>
      </c>
    </row>
    <row r="36" spans="1:18" x14ac:dyDescent="0.2">
      <c r="A36" s="33" t="s">
        <v>45</v>
      </c>
      <c r="B36" s="34" t="s">
        <v>34</v>
      </c>
      <c r="C36" s="33">
        <v>51899.34506</v>
      </c>
      <c r="D36" s="33">
        <v>3.5000000000000001E-3</v>
      </c>
      <c r="E36">
        <f t="shared" si="0"/>
        <v>7916.0158015826473</v>
      </c>
      <c r="F36">
        <f t="shared" si="1"/>
        <v>7916</v>
      </c>
      <c r="G36">
        <f t="shared" si="5"/>
        <v>6.0947999998461455E-2</v>
      </c>
      <c r="K36">
        <f>+G36</f>
        <v>6.0947999998461455E-2</v>
      </c>
      <c r="O36">
        <f t="shared" ca="1" si="3"/>
        <v>6.1467505461432537E-2</v>
      </c>
      <c r="Q36" s="2">
        <f t="shared" si="4"/>
        <v>36880.84506</v>
      </c>
      <c r="R36" t="s">
        <v>140</v>
      </c>
    </row>
    <row r="37" spans="1:18" x14ac:dyDescent="0.2">
      <c r="A37" s="50" t="s">
        <v>126</v>
      </c>
      <c r="B37" s="51" t="s">
        <v>34</v>
      </c>
      <c r="C37" s="52">
        <v>52196.338000000003</v>
      </c>
      <c r="D37" s="52" t="s">
        <v>57</v>
      </c>
      <c r="E37">
        <f t="shared" si="0"/>
        <v>7993.0151860914557</v>
      </c>
      <c r="F37">
        <f t="shared" si="1"/>
        <v>7993</v>
      </c>
      <c r="G37">
        <f t="shared" si="5"/>
        <v>5.8574000002408866E-2</v>
      </c>
      <c r="I37">
        <f>+G37</f>
        <v>5.8574000002408866E-2</v>
      </c>
      <c r="O37">
        <f t="shared" ca="1" si="3"/>
        <v>6.2257910877678818E-2</v>
      </c>
      <c r="Q37" s="2">
        <f t="shared" si="4"/>
        <v>37177.838000000003</v>
      </c>
    </row>
    <row r="38" spans="1:18" x14ac:dyDescent="0.2">
      <c r="A38" s="26" t="s">
        <v>43</v>
      </c>
      <c r="B38" s="27" t="s">
        <v>34</v>
      </c>
      <c r="C38" s="10">
        <v>54001.459699999999</v>
      </c>
      <c r="D38" s="10">
        <v>5.0000000000000001E-4</v>
      </c>
      <c r="E38">
        <f t="shared" si="0"/>
        <v>8461.0170849362294</v>
      </c>
      <c r="F38">
        <f t="shared" si="1"/>
        <v>8461</v>
      </c>
      <c r="G38">
        <f t="shared" si="5"/>
        <v>6.5897999993467238E-2</v>
      </c>
      <c r="J38">
        <f>+G38</f>
        <v>6.5897999993467238E-2</v>
      </c>
      <c r="O38">
        <f t="shared" ca="1" si="3"/>
        <v>6.7061933407591229E-2</v>
      </c>
      <c r="Q38" s="2">
        <f t="shared" si="4"/>
        <v>38982.959699999999</v>
      </c>
      <c r="R38" t="s">
        <v>51</v>
      </c>
    </row>
    <row r="39" spans="1:18" x14ac:dyDescent="0.2">
      <c r="A39" s="35" t="s">
        <v>46</v>
      </c>
      <c r="B39" s="36" t="s">
        <v>34</v>
      </c>
      <c r="C39" s="35">
        <v>55127.737000000001</v>
      </c>
      <c r="D39" s="35">
        <v>0.01</v>
      </c>
      <c r="E39">
        <f t="shared" si="0"/>
        <v>8753.0195106041301</v>
      </c>
      <c r="F39">
        <f t="shared" si="1"/>
        <v>8753</v>
      </c>
      <c r="G39">
        <f t="shared" si="5"/>
        <v>7.5254000003042165E-2</v>
      </c>
      <c r="K39">
        <f>+G39</f>
        <v>7.5254000003042165E-2</v>
      </c>
      <c r="O39">
        <f t="shared" ca="1" si="3"/>
        <v>7.0059314986083601E-2</v>
      </c>
      <c r="Q39" s="2">
        <f t="shared" si="4"/>
        <v>40109.237000000001</v>
      </c>
      <c r="R39" t="s">
        <v>49</v>
      </c>
    </row>
    <row r="40" spans="1:18" x14ac:dyDescent="0.2">
      <c r="B40" s="5"/>
      <c r="C40" s="10"/>
      <c r="D40" s="10"/>
    </row>
    <row r="41" spans="1:18" x14ac:dyDescent="0.2">
      <c r="B41" s="5"/>
      <c r="C41" s="10"/>
      <c r="D41" s="10"/>
    </row>
    <row r="42" spans="1:18" x14ac:dyDescent="0.2">
      <c r="B42" s="5"/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topLeftCell="A5" workbookViewId="0">
      <selection activeCell="A19" sqref="A19:D28"/>
    </sheetView>
  </sheetViews>
  <sheetFormatPr defaultRowHeight="12.75" x14ac:dyDescent="0.2"/>
  <cols>
    <col min="1" max="1" width="19.7109375" style="10" customWidth="1"/>
    <col min="2" max="2" width="4.42578125" style="16" customWidth="1"/>
    <col min="3" max="3" width="12.7109375" style="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7" t="s">
        <v>47</v>
      </c>
      <c r="I1" s="38" t="s">
        <v>48</v>
      </c>
      <c r="J1" s="39" t="s">
        <v>49</v>
      </c>
    </row>
    <row r="2" spans="1:16" x14ac:dyDescent="0.2">
      <c r="I2" s="40" t="s">
        <v>50</v>
      </c>
      <c r="J2" s="41" t="s">
        <v>51</v>
      </c>
    </row>
    <row r="3" spans="1:16" x14ac:dyDescent="0.2">
      <c r="A3" s="42" t="s">
        <v>52</v>
      </c>
      <c r="I3" s="40" t="s">
        <v>53</v>
      </c>
      <c r="J3" s="41" t="s">
        <v>54</v>
      </c>
    </row>
    <row r="4" spans="1:16" x14ac:dyDescent="0.2">
      <c r="I4" s="40" t="s">
        <v>55</v>
      </c>
      <c r="J4" s="41" t="s">
        <v>54</v>
      </c>
    </row>
    <row r="5" spans="1:16" ht="13.5" thickBot="1" x14ac:dyDescent="0.25">
      <c r="I5" s="43" t="s">
        <v>56</v>
      </c>
      <c r="J5" s="44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28" si="0">P11</f>
        <v> BBS 61 </v>
      </c>
      <c r="B11" s="5" t="str">
        <f t="shared" ref="B11:B28" si="1">IF(H11=INT(H11),"I","II")</f>
        <v>I</v>
      </c>
      <c r="C11" s="10">
        <f t="shared" ref="C11:C28" si="2">1*G11</f>
        <v>45145.529000000002</v>
      </c>
      <c r="D11" s="16" t="str">
        <f t="shared" ref="D11:D28" si="3">VLOOKUP(F11,I$1:J$5,2,FALSE)</f>
        <v>vis</v>
      </c>
      <c r="E11" s="45">
        <f>VLOOKUP(C11,Active!C$21:E$973,3,FALSE)</f>
        <v>6164.9988255370254</v>
      </c>
      <c r="F11" s="5" t="s">
        <v>56</v>
      </c>
      <c r="G11" s="16" t="str">
        <f t="shared" ref="G11:G28" si="4">MID(I11,3,LEN(I11)-3)</f>
        <v>45145.529</v>
      </c>
      <c r="H11" s="10">
        <f t="shared" ref="H11:H28" si="5">1*K11</f>
        <v>6161</v>
      </c>
      <c r="I11" s="46" t="s">
        <v>79</v>
      </c>
      <c r="J11" s="47" t="s">
        <v>80</v>
      </c>
      <c r="K11" s="46">
        <v>6161</v>
      </c>
      <c r="L11" s="46" t="s">
        <v>81</v>
      </c>
      <c r="M11" s="47" t="s">
        <v>82</v>
      </c>
      <c r="N11" s="47"/>
      <c r="O11" s="48" t="s">
        <v>83</v>
      </c>
      <c r="P11" s="48" t="s">
        <v>84</v>
      </c>
    </row>
    <row r="12" spans="1:16" ht="12.75" customHeight="1" thickBot="1" x14ac:dyDescent="0.25">
      <c r="A12" s="10" t="str">
        <f t="shared" si="0"/>
        <v> BBS 61 </v>
      </c>
      <c r="B12" s="5" t="str">
        <f t="shared" si="1"/>
        <v>I</v>
      </c>
      <c r="C12" s="10">
        <f t="shared" si="2"/>
        <v>45172.531000000003</v>
      </c>
      <c r="D12" s="16" t="str">
        <f t="shared" si="3"/>
        <v>vis</v>
      </c>
      <c r="E12" s="45">
        <f>VLOOKUP(C12,Active!C$21:E$973,3,FALSE)</f>
        <v>6171.9994545099125</v>
      </c>
      <c r="F12" s="5" t="s">
        <v>56</v>
      </c>
      <c r="G12" s="16" t="str">
        <f t="shared" si="4"/>
        <v>45172.531</v>
      </c>
      <c r="H12" s="10">
        <f t="shared" si="5"/>
        <v>6168</v>
      </c>
      <c r="I12" s="46" t="s">
        <v>85</v>
      </c>
      <c r="J12" s="47" t="s">
        <v>86</v>
      </c>
      <c r="K12" s="46">
        <v>6168</v>
      </c>
      <c r="L12" s="46" t="s">
        <v>87</v>
      </c>
      <c r="M12" s="47" t="s">
        <v>82</v>
      </c>
      <c r="N12" s="47"/>
      <c r="O12" s="48" t="s">
        <v>83</v>
      </c>
      <c r="P12" s="48" t="s">
        <v>84</v>
      </c>
    </row>
    <row r="13" spans="1:16" ht="12.75" customHeight="1" thickBot="1" x14ac:dyDescent="0.25">
      <c r="A13" s="10" t="str">
        <f t="shared" si="0"/>
        <v> BBS 69 </v>
      </c>
      <c r="B13" s="5" t="str">
        <f t="shared" si="1"/>
        <v>I</v>
      </c>
      <c r="C13" s="10">
        <f t="shared" si="2"/>
        <v>45635.48</v>
      </c>
      <c r="D13" s="16" t="str">
        <f t="shared" si="3"/>
        <v>vis</v>
      </c>
      <c r="E13" s="45">
        <f>VLOOKUP(C13,Active!C$21:E$973,3,FALSE)</f>
        <v>6292.0251630636849</v>
      </c>
      <c r="F13" s="5" t="s">
        <v>56</v>
      </c>
      <c r="G13" s="16" t="str">
        <f t="shared" si="4"/>
        <v>45635.480</v>
      </c>
      <c r="H13" s="10">
        <f t="shared" si="5"/>
        <v>6288</v>
      </c>
      <c r="I13" s="46" t="s">
        <v>88</v>
      </c>
      <c r="J13" s="47" t="s">
        <v>89</v>
      </c>
      <c r="K13" s="46">
        <v>6288</v>
      </c>
      <c r="L13" s="46" t="s">
        <v>90</v>
      </c>
      <c r="M13" s="47" t="s">
        <v>82</v>
      </c>
      <c r="N13" s="47"/>
      <c r="O13" s="48" t="s">
        <v>83</v>
      </c>
      <c r="P13" s="48" t="s">
        <v>91</v>
      </c>
    </row>
    <row r="14" spans="1:16" ht="12.75" customHeight="1" thickBot="1" x14ac:dyDescent="0.25">
      <c r="A14" s="10" t="str">
        <f t="shared" si="0"/>
        <v> BBS 89 </v>
      </c>
      <c r="B14" s="5" t="str">
        <f t="shared" si="1"/>
        <v>I</v>
      </c>
      <c r="C14" s="10">
        <f t="shared" si="2"/>
        <v>47386.553</v>
      </c>
      <c r="D14" s="16" t="str">
        <f t="shared" si="3"/>
        <v>vis</v>
      </c>
      <c r="E14" s="45">
        <f>VLOOKUP(C14,Active!C$21:E$973,3,FALSE)</f>
        <v>6746.0142148909463</v>
      </c>
      <c r="F14" s="5" t="s">
        <v>56</v>
      </c>
      <c r="G14" s="16" t="str">
        <f t="shared" si="4"/>
        <v>47386.553</v>
      </c>
      <c r="H14" s="10">
        <f t="shared" si="5"/>
        <v>6742</v>
      </c>
      <c r="I14" s="46" t="s">
        <v>92</v>
      </c>
      <c r="J14" s="47" t="s">
        <v>93</v>
      </c>
      <c r="K14" s="46">
        <v>6742</v>
      </c>
      <c r="L14" s="46" t="s">
        <v>94</v>
      </c>
      <c r="M14" s="47" t="s">
        <v>82</v>
      </c>
      <c r="N14" s="47"/>
      <c r="O14" s="48" t="s">
        <v>83</v>
      </c>
      <c r="P14" s="48" t="s">
        <v>95</v>
      </c>
    </row>
    <row r="15" spans="1:16" ht="12.75" customHeight="1" thickBot="1" x14ac:dyDescent="0.25">
      <c r="A15" s="10" t="str">
        <f t="shared" si="0"/>
        <v>IBVS 5287 </v>
      </c>
      <c r="B15" s="5" t="str">
        <f t="shared" si="1"/>
        <v>I</v>
      </c>
      <c r="C15" s="10">
        <f t="shared" si="2"/>
        <v>51841.4931</v>
      </c>
      <c r="D15" s="16" t="str">
        <f t="shared" si="3"/>
        <v>vis</v>
      </c>
      <c r="E15" s="45">
        <f>VLOOKUP(C15,Active!C$21:E$973,3,FALSE)</f>
        <v>7901.0169086371507</v>
      </c>
      <c r="F15" s="5" t="s">
        <v>56</v>
      </c>
      <c r="G15" s="16" t="str">
        <f t="shared" si="4"/>
        <v>51841.4931</v>
      </c>
      <c r="H15" s="10">
        <f t="shared" si="5"/>
        <v>7897</v>
      </c>
      <c r="I15" s="46" t="s">
        <v>104</v>
      </c>
      <c r="J15" s="47" t="s">
        <v>105</v>
      </c>
      <c r="K15" s="46">
        <v>7897</v>
      </c>
      <c r="L15" s="46" t="s">
        <v>106</v>
      </c>
      <c r="M15" s="47" t="s">
        <v>107</v>
      </c>
      <c r="N15" s="47" t="s">
        <v>108</v>
      </c>
      <c r="O15" s="48" t="s">
        <v>109</v>
      </c>
      <c r="P15" s="49" t="s">
        <v>110</v>
      </c>
    </row>
    <row r="16" spans="1:16" ht="12.75" customHeight="1" thickBot="1" x14ac:dyDescent="0.25">
      <c r="A16" s="10" t="str">
        <f t="shared" si="0"/>
        <v>OEJV 0074 </v>
      </c>
      <c r="B16" s="5" t="str">
        <f t="shared" si="1"/>
        <v>I</v>
      </c>
      <c r="C16" s="10">
        <f t="shared" si="2"/>
        <v>51899.34506</v>
      </c>
      <c r="D16" s="16" t="str">
        <f t="shared" si="3"/>
        <v>vis</v>
      </c>
      <c r="E16" s="45">
        <f>VLOOKUP(C16,Active!C$21:E$973,3,FALSE)</f>
        <v>7916.0158015826473</v>
      </c>
      <c r="F16" s="5" t="s">
        <v>56</v>
      </c>
      <c r="G16" s="16" t="str">
        <f t="shared" si="4"/>
        <v>51899.34506</v>
      </c>
      <c r="H16" s="10">
        <f t="shared" si="5"/>
        <v>7912</v>
      </c>
      <c r="I16" s="46" t="s">
        <v>115</v>
      </c>
      <c r="J16" s="47" t="s">
        <v>116</v>
      </c>
      <c r="K16" s="46">
        <v>7912</v>
      </c>
      <c r="L16" s="46" t="s">
        <v>117</v>
      </c>
      <c r="M16" s="47" t="s">
        <v>118</v>
      </c>
      <c r="N16" s="47" t="s">
        <v>119</v>
      </c>
      <c r="O16" s="48" t="s">
        <v>120</v>
      </c>
      <c r="P16" s="49" t="s">
        <v>121</v>
      </c>
    </row>
    <row r="17" spans="1:16" ht="12.75" customHeight="1" thickBot="1" x14ac:dyDescent="0.25">
      <c r="A17" s="10" t="str">
        <f t="shared" si="0"/>
        <v>BAVM 183 </v>
      </c>
      <c r="B17" s="5" t="str">
        <f t="shared" si="1"/>
        <v>I</v>
      </c>
      <c r="C17" s="10">
        <f t="shared" si="2"/>
        <v>54001.459699999999</v>
      </c>
      <c r="D17" s="16" t="str">
        <f t="shared" si="3"/>
        <v>vis</v>
      </c>
      <c r="E17" s="45">
        <f>VLOOKUP(C17,Active!C$21:E$973,3,FALSE)</f>
        <v>8461.0170849362294</v>
      </c>
      <c r="F17" s="5" t="s">
        <v>56</v>
      </c>
      <c r="G17" s="16" t="str">
        <f t="shared" si="4"/>
        <v>54001.4597</v>
      </c>
      <c r="H17" s="10">
        <f t="shared" si="5"/>
        <v>8457</v>
      </c>
      <c r="I17" s="46" t="s">
        <v>127</v>
      </c>
      <c r="J17" s="47" t="s">
        <v>128</v>
      </c>
      <c r="K17" s="46">
        <v>8457</v>
      </c>
      <c r="L17" s="46" t="s">
        <v>129</v>
      </c>
      <c r="M17" s="47" t="s">
        <v>118</v>
      </c>
      <c r="N17" s="47" t="s">
        <v>130</v>
      </c>
      <c r="O17" s="48" t="s">
        <v>131</v>
      </c>
      <c r="P17" s="49" t="s">
        <v>132</v>
      </c>
    </row>
    <row r="18" spans="1:16" ht="12.75" customHeight="1" thickBot="1" x14ac:dyDescent="0.25">
      <c r="A18" s="10" t="str">
        <f t="shared" si="0"/>
        <v>IBVS 5920 </v>
      </c>
      <c r="B18" s="5" t="str">
        <f t="shared" si="1"/>
        <v>I</v>
      </c>
      <c r="C18" s="10">
        <f t="shared" si="2"/>
        <v>55127.737000000001</v>
      </c>
      <c r="D18" s="16" t="str">
        <f t="shared" si="3"/>
        <v>vis</v>
      </c>
      <c r="E18" s="45">
        <f>VLOOKUP(C18,Active!C$21:E$973,3,FALSE)</f>
        <v>8753.0195106041301</v>
      </c>
      <c r="F18" s="5" t="s">
        <v>56</v>
      </c>
      <c r="G18" s="16" t="str">
        <f t="shared" si="4"/>
        <v>55127.737</v>
      </c>
      <c r="H18" s="10">
        <f t="shared" si="5"/>
        <v>8749</v>
      </c>
      <c r="I18" s="46" t="s">
        <v>133</v>
      </c>
      <c r="J18" s="47" t="s">
        <v>134</v>
      </c>
      <c r="K18" s="46" t="s">
        <v>135</v>
      </c>
      <c r="L18" s="46" t="s">
        <v>136</v>
      </c>
      <c r="M18" s="47" t="s">
        <v>118</v>
      </c>
      <c r="N18" s="47" t="s">
        <v>56</v>
      </c>
      <c r="O18" s="48" t="s">
        <v>125</v>
      </c>
      <c r="P18" s="49" t="s">
        <v>137</v>
      </c>
    </row>
    <row r="19" spans="1:16" ht="12.75" customHeight="1" thickBot="1" x14ac:dyDescent="0.25">
      <c r="A19" s="10" t="str">
        <f t="shared" si="0"/>
        <v> MVS 669 </v>
      </c>
      <c r="B19" s="5" t="str">
        <f t="shared" si="1"/>
        <v>I</v>
      </c>
      <c r="C19" s="10">
        <f t="shared" si="2"/>
        <v>26793.436000000002</v>
      </c>
      <c r="D19" s="16" t="str">
        <f t="shared" si="3"/>
        <v>vis</v>
      </c>
      <c r="E19" s="45">
        <f>VLOOKUP(C19,Active!C$21:E$973,3,FALSE)</f>
        <v>1406.9737174371719</v>
      </c>
      <c r="F19" s="5" t="s">
        <v>56</v>
      </c>
      <c r="G19" s="16" t="str">
        <f t="shared" si="4"/>
        <v>26793.436</v>
      </c>
      <c r="H19" s="10">
        <f t="shared" si="5"/>
        <v>1407</v>
      </c>
      <c r="I19" s="46" t="s">
        <v>58</v>
      </c>
      <c r="J19" s="47" t="s">
        <v>59</v>
      </c>
      <c r="K19" s="46">
        <v>1407</v>
      </c>
      <c r="L19" s="46" t="s">
        <v>60</v>
      </c>
      <c r="M19" s="47" t="s">
        <v>61</v>
      </c>
      <c r="N19" s="47"/>
      <c r="O19" s="48" t="s">
        <v>62</v>
      </c>
      <c r="P19" s="48" t="s">
        <v>63</v>
      </c>
    </row>
    <row r="20" spans="1:16" ht="12.75" customHeight="1" thickBot="1" x14ac:dyDescent="0.25">
      <c r="A20" s="10" t="str">
        <f t="shared" si="0"/>
        <v> MVS 669 </v>
      </c>
      <c r="B20" s="5" t="str">
        <f t="shared" si="1"/>
        <v>I</v>
      </c>
      <c r="C20" s="10">
        <f t="shared" si="2"/>
        <v>26828.392</v>
      </c>
      <c r="D20" s="16" t="str">
        <f t="shared" si="3"/>
        <v>vis</v>
      </c>
      <c r="E20" s="45">
        <f>VLOOKUP(C20,Active!C$21:E$973,3,FALSE)</f>
        <v>1416.0365270948348</v>
      </c>
      <c r="F20" s="5" t="s">
        <v>56</v>
      </c>
      <c r="G20" s="16" t="str">
        <f t="shared" si="4"/>
        <v>26828.392</v>
      </c>
      <c r="H20" s="10">
        <f t="shared" si="5"/>
        <v>1416</v>
      </c>
      <c r="I20" s="46" t="s">
        <v>64</v>
      </c>
      <c r="J20" s="47" t="s">
        <v>65</v>
      </c>
      <c r="K20" s="46">
        <v>1416</v>
      </c>
      <c r="L20" s="46" t="s">
        <v>66</v>
      </c>
      <c r="M20" s="47" t="s">
        <v>61</v>
      </c>
      <c r="N20" s="47"/>
      <c r="O20" s="48" t="s">
        <v>62</v>
      </c>
      <c r="P20" s="48" t="s">
        <v>63</v>
      </c>
    </row>
    <row r="21" spans="1:16" ht="12.75" customHeight="1" thickBot="1" x14ac:dyDescent="0.25">
      <c r="A21" s="10" t="str">
        <f t="shared" si="0"/>
        <v> MVS 669 </v>
      </c>
      <c r="B21" s="5" t="str">
        <f t="shared" si="1"/>
        <v>I</v>
      </c>
      <c r="C21" s="10">
        <f t="shared" si="2"/>
        <v>27333.513999999999</v>
      </c>
      <c r="D21" s="16" t="str">
        <f t="shared" si="3"/>
        <v>vis</v>
      </c>
      <c r="E21" s="45">
        <f>VLOOKUP(C21,Active!C$21:E$973,3,FALSE)</f>
        <v>1546.996148902201</v>
      </c>
      <c r="F21" s="5" t="s">
        <v>56</v>
      </c>
      <c r="G21" s="16" t="str">
        <f t="shared" si="4"/>
        <v>27333.514</v>
      </c>
      <c r="H21" s="10">
        <f t="shared" si="5"/>
        <v>1547</v>
      </c>
      <c r="I21" s="46" t="s">
        <v>67</v>
      </c>
      <c r="J21" s="47" t="s">
        <v>68</v>
      </c>
      <c r="K21" s="46">
        <v>1547</v>
      </c>
      <c r="L21" s="46" t="s">
        <v>69</v>
      </c>
      <c r="M21" s="47" t="s">
        <v>61</v>
      </c>
      <c r="N21" s="47"/>
      <c r="O21" s="48" t="s">
        <v>62</v>
      </c>
      <c r="P21" s="48" t="s">
        <v>63</v>
      </c>
    </row>
    <row r="22" spans="1:16" ht="12.75" customHeight="1" thickBot="1" x14ac:dyDescent="0.25">
      <c r="A22" s="10" t="str">
        <f t="shared" si="0"/>
        <v> MVS 669 </v>
      </c>
      <c r="B22" s="5" t="str">
        <f t="shared" si="1"/>
        <v>I</v>
      </c>
      <c r="C22" s="10">
        <f t="shared" si="2"/>
        <v>27360.467000000001</v>
      </c>
      <c r="D22" s="16" t="str">
        <f t="shared" si="3"/>
        <v>vis</v>
      </c>
      <c r="E22" s="45">
        <f>VLOOKUP(C22,Active!C$21:E$973,3,FALSE)</f>
        <v>1553.984073970945</v>
      </c>
      <c r="F22" s="5" t="s">
        <v>56</v>
      </c>
      <c r="G22" s="16" t="str">
        <f t="shared" si="4"/>
        <v>27360.467</v>
      </c>
      <c r="H22" s="10">
        <f t="shared" si="5"/>
        <v>1554</v>
      </c>
      <c r="I22" s="46" t="s">
        <v>70</v>
      </c>
      <c r="J22" s="47" t="s">
        <v>71</v>
      </c>
      <c r="K22" s="46">
        <v>1554</v>
      </c>
      <c r="L22" s="46" t="s">
        <v>72</v>
      </c>
      <c r="M22" s="47" t="s">
        <v>61</v>
      </c>
      <c r="N22" s="47"/>
      <c r="O22" s="48" t="s">
        <v>62</v>
      </c>
      <c r="P22" s="48" t="s">
        <v>63</v>
      </c>
    </row>
    <row r="23" spans="1:16" ht="12.75" customHeight="1" thickBot="1" x14ac:dyDescent="0.25">
      <c r="A23" s="10" t="str">
        <f t="shared" si="0"/>
        <v> MVS 669 </v>
      </c>
      <c r="B23" s="5" t="str">
        <f t="shared" si="1"/>
        <v>I</v>
      </c>
      <c r="C23" s="10">
        <f t="shared" si="2"/>
        <v>27684.525000000001</v>
      </c>
      <c r="D23" s="16" t="str">
        <f t="shared" si="3"/>
        <v>vis</v>
      </c>
      <c r="E23" s="45">
        <f>VLOOKUP(C23,Active!C$21:E$973,3,FALSE)</f>
        <v>1638.0004365994816</v>
      </c>
      <c r="F23" s="5" t="s">
        <v>56</v>
      </c>
      <c r="G23" s="16" t="str">
        <f t="shared" si="4"/>
        <v>27684.525</v>
      </c>
      <c r="H23" s="10">
        <f t="shared" si="5"/>
        <v>1638</v>
      </c>
      <c r="I23" s="46" t="s">
        <v>73</v>
      </c>
      <c r="J23" s="47" t="s">
        <v>74</v>
      </c>
      <c r="K23" s="46">
        <v>1638</v>
      </c>
      <c r="L23" s="46" t="s">
        <v>75</v>
      </c>
      <c r="M23" s="47" t="s">
        <v>61</v>
      </c>
      <c r="N23" s="47"/>
      <c r="O23" s="48" t="s">
        <v>62</v>
      </c>
      <c r="P23" s="48" t="s">
        <v>63</v>
      </c>
    </row>
    <row r="24" spans="1:16" ht="12.75" customHeight="1" thickBot="1" x14ac:dyDescent="0.25">
      <c r="A24" s="10" t="str">
        <f t="shared" si="0"/>
        <v> MVS 669 </v>
      </c>
      <c r="B24" s="5" t="str">
        <f t="shared" si="1"/>
        <v>II</v>
      </c>
      <c r="C24" s="10">
        <f t="shared" si="2"/>
        <v>27764.358</v>
      </c>
      <c r="D24" s="16" t="str">
        <f t="shared" si="3"/>
        <v>vis</v>
      </c>
      <c r="E24" s="45">
        <f>VLOOKUP(C24,Active!C$21:E$973,3,FALSE)</f>
        <v>1658.6982076087572</v>
      </c>
      <c r="F24" s="5" t="s">
        <v>56</v>
      </c>
      <c r="G24" s="16" t="str">
        <f t="shared" si="4"/>
        <v>27764.358</v>
      </c>
      <c r="H24" s="10">
        <f t="shared" si="5"/>
        <v>1658.5</v>
      </c>
      <c r="I24" s="46" t="s">
        <v>76</v>
      </c>
      <c r="J24" s="47" t="s">
        <v>77</v>
      </c>
      <c r="K24" s="46">
        <v>1658.5</v>
      </c>
      <c r="L24" s="46" t="s">
        <v>78</v>
      </c>
      <c r="M24" s="47" t="s">
        <v>61</v>
      </c>
      <c r="N24" s="47"/>
      <c r="O24" s="48" t="s">
        <v>62</v>
      </c>
      <c r="P24" s="48" t="s">
        <v>63</v>
      </c>
    </row>
    <row r="25" spans="1:16" ht="12.75" customHeight="1" thickBot="1" x14ac:dyDescent="0.25">
      <c r="A25" s="10" t="str">
        <f t="shared" si="0"/>
        <v> BBS 123 </v>
      </c>
      <c r="B25" s="5" t="str">
        <f t="shared" si="1"/>
        <v>I</v>
      </c>
      <c r="C25" s="10">
        <f t="shared" si="2"/>
        <v>51486.61</v>
      </c>
      <c r="D25" s="16" t="str">
        <f t="shared" si="3"/>
        <v>vis</v>
      </c>
      <c r="E25" s="45">
        <f>VLOOKUP(C25,Active!C$21:E$973,3,FALSE)</f>
        <v>7809.0087273228828</v>
      </c>
      <c r="F25" s="5" t="s">
        <v>56</v>
      </c>
      <c r="G25" s="16" t="str">
        <f t="shared" si="4"/>
        <v>51486.61</v>
      </c>
      <c r="H25" s="10">
        <f t="shared" si="5"/>
        <v>7805</v>
      </c>
      <c r="I25" s="46" t="s">
        <v>96</v>
      </c>
      <c r="J25" s="47" t="s">
        <v>97</v>
      </c>
      <c r="K25" s="46">
        <v>7805</v>
      </c>
      <c r="L25" s="46" t="s">
        <v>98</v>
      </c>
      <c r="M25" s="47" t="s">
        <v>82</v>
      </c>
      <c r="N25" s="47"/>
      <c r="O25" s="48" t="s">
        <v>99</v>
      </c>
      <c r="P25" s="48" t="s">
        <v>100</v>
      </c>
    </row>
    <row r="26" spans="1:16" ht="12.75" customHeight="1" thickBot="1" x14ac:dyDescent="0.25">
      <c r="A26" s="10" t="str">
        <f t="shared" si="0"/>
        <v> BBS 123 </v>
      </c>
      <c r="B26" s="5" t="str">
        <f t="shared" si="1"/>
        <v>I</v>
      </c>
      <c r="C26" s="10">
        <f t="shared" si="2"/>
        <v>51490.53</v>
      </c>
      <c r="D26" s="16" t="str">
        <f t="shared" si="3"/>
        <v>vis</v>
      </c>
      <c r="E26" s="45">
        <f>VLOOKUP(C26,Active!C$21:E$973,3,FALSE)</f>
        <v>7810.0250396543288</v>
      </c>
      <c r="F26" s="5" t="s">
        <v>56</v>
      </c>
      <c r="G26" s="16" t="str">
        <f t="shared" si="4"/>
        <v>51490.53</v>
      </c>
      <c r="H26" s="10">
        <f t="shared" si="5"/>
        <v>7806</v>
      </c>
      <c r="I26" s="46" t="s">
        <v>101</v>
      </c>
      <c r="J26" s="47" t="s">
        <v>102</v>
      </c>
      <c r="K26" s="46">
        <v>7806</v>
      </c>
      <c r="L26" s="46" t="s">
        <v>103</v>
      </c>
      <c r="M26" s="47" t="s">
        <v>82</v>
      </c>
      <c r="N26" s="47"/>
      <c r="O26" s="48" t="s">
        <v>99</v>
      </c>
      <c r="P26" s="48" t="s">
        <v>100</v>
      </c>
    </row>
    <row r="27" spans="1:16" ht="12.75" customHeight="1" thickBot="1" x14ac:dyDescent="0.25">
      <c r="A27" s="10" t="str">
        <f t="shared" si="0"/>
        <v> BBS 124 </v>
      </c>
      <c r="B27" s="5" t="str">
        <f t="shared" si="1"/>
        <v>I</v>
      </c>
      <c r="C27" s="10">
        <f t="shared" si="2"/>
        <v>51841.506000000001</v>
      </c>
      <c r="D27" s="16" t="str">
        <f t="shared" si="3"/>
        <v>vis</v>
      </c>
      <c r="E27" s="45">
        <f>VLOOKUP(C27,Active!C$21:E$973,3,FALSE)</f>
        <v>7901.0202531343648</v>
      </c>
      <c r="F27" s="5" t="s">
        <v>56</v>
      </c>
      <c r="G27" s="16" t="str">
        <f t="shared" si="4"/>
        <v>51841.506</v>
      </c>
      <c r="H27" s="10">
        <f t="shared" si="5"/>
        <v>7897</v>
      </c>
      <c r="I27" s="46" t="s">
        <v>111</v>
      </c>
      <c r="J27" s="47" t="s">
        <v>112</v>
      </c>
      <c r="K27" s="46">
        <v>7897</v>
      </c>
      <c r="L27" s="46" t="s">
        <v>113</v>
      </c>
      <c r="M27" s="47" t="s">
        <v>82</v>
      </c>
      <c r="N27" s="47"/>
      <c r="O27" s="48" t="s">
        <v>99</v>
      </c>
      <c r="P27" s="48" t="s">
        <v>114</v>
      </c>
    </row>
    <row r="28" spans="1:16" ht="12.75" customHeight="1" thickBot="1" x14ac:dyDescent="0.25">
      <c r="A28" s="10" t="str">
        <f t="shared" si="0"/>
        <v> BBS 126 </v>
      </c>
      <c r="B28" s="5" t="str">
        <f t="shared" si="1"/>
        <v>I</v>
      </c>
      <c r="C28" s="10">
        <f t="shared" si="2"/>
        <v>52196.338000000003</v>
      </c>
      <c r="D28" s="16" t="str">
        <f t="shared" si="3"/>
        <v>vis</v>
      </c>
      <c r="E28" s="45">
        <f>VLOOKUP(C28,Active!C$21:E$973,3,FALSE)</f>
        <v>7993.0151860914557</v>
      </c>
      <c r="F28" s="5" t="s">
        <v>56</v>
      </c>
      <c r="G28" s="16" t="str">
        <f t="shared" si="4"/>
        <v>52196.338</v>
      </c>
      <c r="H28" s="10">
        <f t="shared" si="5"/>
        <v>7989</v>
      </c>
      <c r="I28" s="46" t="s">
        <v>122</v>
      </c>
      <c r="J28" s="47" t="s">
        <v>123</v>
      </c>
      <c r="K28" s="46">
        <v>7989</v>
      </c>
      <c r="L28" s="46" t="s">
        <v>124</v>
      </c>
      <c r="M28" s="47" t="s">
        <v>107</v>
      </c>
      <c r="N28" s="47" t="s">
        <v>108</v>
      </c>
      <c r="O28" s="48" t="s">
        <v>125</v>
      </c>
      <c r="P28" s="48" t="s">
        <v>126</v>
      </c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</sheetData>
  <phoneticPr fontId="8" type="noConversion"/>
  <hyperlinks>
    <hyperlink ref="P15" r:id="rId1" display="http://www.konkoly.hu/cgi-bin/IBVS?5287"/>
    <hyperlink ref="P16" r:id="rId2" display="http://var.astro.cz/oejv/issues/oejv0074.pdf"/>
    <hyperlink ref="P17" r:id="rId3" display="http://www.bav-astro.de/sfs/BAVM_link.php?BAVMnr=183"/>
    <hyperlink ref="P18" r:id="rId4" display="http://www.konkoly.hu/cgi-bin/IBVS?59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2024-01-23T03:51:45Z</dcterms:modified>
</cp:coreProperties>
</file>