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272949D-954D-43B4-86C7-81FD9D7843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Active 2" sheetId="2" r:id="rId2"/>
    <sheet name="Active 3" sheetId="3" r:id="rId3"/>
    <sheet name="Active 4" sheetId="4" r:id="rId4"/>
    <sheet name="Active 5" sheetId="5" r:id="rId5"/>
    <sheet name="Active 6" sheetId="7" r:id="rId6"/>
    <sheet name="BAV" sheetId="6" r:id="rId7"/>
  </sheets>
  <calcPr calcId="181029"/>
</workbook>
</file>

<file path=xl/calcChain.xml><?xml version="1.0" encoding="utf-8"?>
<calcChain xmlns="http://schemas.openxmlformats.org/spreadsheetml/2006/main">
  <c r="E21" i="5" l="1"/>
  <c r="F21" i="5" s="1"/>
  <c r="G21" i="5" s="1"/>
  <c r="H21" i="5" s="1"/>
  <c r="Q21" i="5"/>
  <c r="E22" i="5"/>
  <c r="F22" i="5" s="1"/>
  <c r="G22" i="5" s="1"/>
  <c r="H22" i="5" s="1"/>
  <c r="Q22" i="5"/>
  <c r="E23" i="5"/>
  <c r="F23" i="5"/>
  <c r="G23" i="5" s="1"/>
  <c r="H23" i="5" s="1"/>
  <c r="Q23" i="5"/>
  <c r="E24" i="5"/>
  <c r="F24" i="5"/>
  <c r="G24" i="5" s="1"/>
  <c r="H24" i="5" s="1"/>
  <c r="Q24" i="5"/>
  <c r="E25" i="5"/>
  <c r="F25" i="5" s="1"/>
  <c r="G25" i="5" s="1"/>
  <c r="I25" i="5" s="1"/>
  <c r="Q25" i="5"/>
  <c r="E26" i="5"/>
  <c r="F26" i="5"/>
  <c r="G26" i="5" s="1"/>
  <c r="I26" i="5" s="1"/>
  <c r="Q26" i="5"/>
  <c r="E27" i="5"/>
  <c r="F27" i="5" s="1"/>
  <c r="G27" i="5" s="1"/>
  <c r="I27" i="5" s="1"/>
  <c r="Q27" i="5"/>
  <c r="E28" i="5"/>
  <c r="F28" i="5"/>
  <c r="G28" i="5" s="1"/>
  <c r="I28" i="5" s="1"/>
  <c r="Q28" i="5"/>
  <c r="E29" i="5"/>
  <c r="F29" i="5" s="1"/>
  <c r="G29" i="5" s="1"/>
  <c r="I29" i="5" s="1"/>
  <c r="Q29" i="5"/>
  <c r="E30" i="5"/>
  <c r="F30" i="5" s="1"/>
  <c r="G30" i="5" s="1"/>
  <c r="I30" i="5" s="1"/>
  <c r="Q30" i="5"/>
  <c r="E32" i="5"/>
  <c r="F32" i="5"/>
  <c r="G32" i="5" s="1"/>
  <c r="I32" i="5" s="1"/>
  <c r="Q32" i="5"/>
  <c r="A31" i="5"/>
  <c r="C31" i="5"/>
  <c r="Q31" i="5" s="1"/>
  <c r="C9" i="7"/>
  <c r="D9" i="7"/>
  <c r="E26" i="7"/>
  <c r="F26" i="7"/>
  <c r="G26" i="7"/>
  <c r="J26" i="7"/>
  <c r="E27" i="7"/>
  <c r="F27" i="7"/>
  <c r="G27" i="7"/>
  <c r="J27" i="7"/>
  <c r="E28" i="7"/>
  <c r="F28" i="7"/>
  <c r="G28" i="7"/>
  <c r="J28" i="7"/>
  <c r="E29" i="7"/>
  <c r="F29" i="7"/>
  <c r="G29" i="7"/>
  <c r="J29" i="7"/>
  <c r="E30" i="7"/>
  <c r="F30" i="7"/>
  <c r="G30" i="7"/>
  <c r="J30" i="7"/>
  <c r="E31" i="7"/>
  <c r="F31" i="7"/>
  <c r="G31" i="7"/>
  <c r="J31" i="7"/>
  <c r="E21" i="7"/>
  <c r="F21" i="7"/>
  <c r="G21" i="7"/>
  <c r="I21" i="7"/>
  <c r="E22" i="7"/>
  <c r="F22" i="7"/>
  <c r="E23" i="7"/>
  <c r="F23" i="7"/>
  <c r="G23" i="7"/>
  <c r="I23" i="7"/>
  <c r="E24" i="7"/>
  <c r="F24" i="7"/>
  <c r="E25" i="7"/>
  <c r="F25" i="7"/>
  <c r="G25" i="7"/>
  <c r="J25" i="7"/>
  <c r="C17" i="7"/>
  <c r="F17" i="7"/>
  <c r="Q21" i="7"/>
  <c r="G22" i="7"/>
  <c r="I22" i="7"/>
  <c r="Q22" i="7"/>
  <c r="Q23" i="7"/>
  <c r="G24" i="7"/>
  <c r="I24" i="7"/>
  <c r="Q24" i="7"/>
  <c r="Q25" i="7"/>
  <c r="Q26" i="7"/>
  <c r="Q27" i="7"/>
  <c r="Q28" i="7"/>
  <c r="Q29" i="7"/>
  <c r="Q30" i="7"/>
  <c r="Q31" i="7"/>
  <c r="G21" i="6"/>
  <c r="C21" i="6"/>
  <c r="E21" i="6"/>
  <c r="G20" i="6"/>
  <c r="C20" i="6"/>
  <c r="E20" i="6"/>
  <c r="G19" i="6"/>
  <c r="C19" i="6"/>
  <c r="E19" i="6"/>
  <c r="G18" i="6"/>
  <c r="C18" i="6"/>
  <c r="E18" i="6"/>
  <c r="G17" i="6"/>
  <c r="C17" i="6"/>
  <c r="E17" i="6"/>
  <c r="G16" i="6"/>
  <c r="C16" i="6"/>
  <c r="E16" i="6"/>
  <c r="G15" i="6"/>
  <c r="C15" i="6"/>
  <c r="E15" i="6"/>
  <c r="G14" i="6"/>
  <c r="C14" i="6"/>
  <c r="E14" i="6"/>
  <c r="G13" i="6"/>
  <c r="C13" i="6"/>
  <c r="E13" i="6"/>
  <c r="G12" i="6"/>
  <c r="C12" i="6"/>
  <c r="E12" i="6"/>
  <c r="G11" i="6"/>
  <c r="C11" i="6"/>
  <c r="E11" i="6"/>
  <c r="H21" i="6"/>
  <c r="D21" i="6"/>
  <c r="B21" i="6"/>
  <c r="A21" i="6"/>
  <c r="H20" i="6"/>
  <c r="D20" i="6"/>
  <c r="B20" i="6"/>
  <c r="A20" i="6"/>
  <c r="H19" i="6"/>
  <c r="D19" i="6"/>
  <c r="B19" i="6"/>
  <c r="A19" i="6"/>
  <c r="H18" i="6"/>
  <c r="D18" i="6"/>
  <c r="B18" i="6"/>
  <c r="A18" i="6"/>
  <c r="H17" i="6"/>
  <c r="D17" i="6"/>
  <c r="B17" i="6"/>
  <c r="A17" i="6"/>
  <c r="H16" i="6"/>
  <c r="D16" i="6"/>
  <c r="B16" i="6"/>
  <c r="A16" i="6"/>
  <c r="H15" i="6"/>
  <c r="D15" i="6"/>
  <c r="B15" i="6"/>
  <c r="A15" i="6"/>
  <c r="H14" i="6"/>
  <c r="D14" i="6"/>
  <c r="B14" i="6"/>
  <c r="A14" i="6"/>
  <c r="H13" i="6"/>
  <c r="D13" i="6"/>
  <c r="B13" i="6"/>
  <c r="A13" i="6"/>
  <c r="H12" i="6"/>
  <c r="D12" i="6"/>
  <c r="B12" i="6"/>
  <c r="A12" i="6"/>
  <c r="H11" i="6"/>
  <c r="D11" i="6"/>
  <c r="B11" i="6"/>
  <c r="A11" i="6"/>
  <c r="F11" i="5"/>
  <c r="G11" i="5"/>
  <c r="E15" i="5"/>
  <c r="F21" i="4"/>
  <c r="G21" i="4"/>
  <c r="H21" i="4"/>
  <c r="F25" i="4"/>
  <c r="G25" i="4"/>
  <c r="I25" i="4"/>
  <c r="F26" i="4"/>
  <c r="F11" i="4"/>
  <c r="E25" i="4"/>
  <c r="E26" i="4"/>
  <c r="G26" i="4"/>
  <c r="E27" i="4"/>
  <c r="F27" i="4"/>
  <c r="G27" i="4"/>
  <c r="I27" i="4"/>
  <c r="E28" i="4"/>
  <c r="F28" i="4"/>
  <c r="G28" i="4"/>
  <c r="I28" i="4"/>
  <c r="E29" i="4"/>
  <c r="F29" i="4"/>
  <c r="G29" i="4"/>
  <c r="E30" i="4"/>
  <c r="F30" i="4"/>
  <c r="G30" i="4"/>
  <c r="I30" i="4"/>
  <c r="E31" i="4"/>
  <c r="F31" i="4"/>
  <c r="G31" i="4"/>
  <c r="I31" i="4"/>
  <c r="G11" i="4"/>
  <c r="E21" i="4"/>
  <c r="E22" i="4"/>
  <c r="F22" i="4"/>
  <c r="G22" i="4"/>
  <c r="H22" i="4"/>
  <c r="E23" i="4"/>
  <c r="F23" i="4"/>
  <c r="G23" i="4"/>
  <c r="H23" i="4"/>
  <c r="E24" i="4"/>
  <c r="F24" i="4"/>
  <c r="G24" i="4"/>
  <c r="H24" i="4"/>
  <c r="E15" i="4"/>
  <c r="C17" i="4"/>
  <c r="Q21" i="4"/>
  <c r="Q22" i="4"/>
  <c r="Q23" i="4"/>
  <c r="Q24" i="4"/>
  <c r="Q25" i="4"/>
  <c r="I26" i="4"/>
  <c r="Q26" i="4"/>
  <c r="Q27" i="4"/>
  <c r="Q28" i="4"/>
  <c r="I29" i="4"/>
  <c r="Q29" i="4"/>
  <c r="Q30" i="4"/>
  <c r="Q31" i="4"/>
  <c r="F27" i="3"/>
  <c r="G27" i="3" s="1"/>
  <c r="I27" i="3" s="1"/>
  <c r="F11" i="3"/>
  <c r="E29" i="3"/>
  <c r="F29" i="3" s="1"/>
  <c r="G29" i="3" s="1"/>
  <c r="I29" i="3" s="1"/>
  <c r="E30" i="3"/>
  <c r="F30" i="3" s="1"/>
  <c r="G30" i="3" s="1"/>
  <c r="I30" i="3" s="1"/>
  <c r="E31" i="3"/>
  <c r="F31" i="3" s="1"/>
  <c r="G31" i="3" s="1"/>
  <c r="I31" i="3" s="1"/>
  <c r="G11" i="3"/>
  <c r="E21" i="3"/>
  <c r="F21" i="3" s="1"/>
  <c r="G21" i="3" s="1"/>
  <c r="H21" i="3" s="1"/>
  <c r="E22" i="3"/>
  <c r="F22" i="3" s="1"/>
  <c r="G22" i="3" s="1"/>
  <c r="H22" i="3" s="1"/>
  <c r="E23" i="3"/>
  <c r="F23" i="3" s="1"/>
  <c r="G23" i="3" s="1"/>
  <c r="H23" i="3" s="1"/>
  <c r="E24" i="3"/>
  <c r="F24" i="3" s="1"/>
  <c r="G24" i="3" s="1"/>
  <c r="H24" i="3" s="1"/>
  <c r="E25" i="3"/>
  <c r="F25" i="3" s="1"/>
  <c r="G25" i="3" s="1"/>
  <c r="I25" i="3" s="1"/>
  <c r="E26" i="3"/>
  <c r="F26" i="3" s="1"/>
  <c r="G26" i="3" s="1"/>
  <c r="I26" i="3" s="1"/>
  <c r="E27" i="3"/>
  <c r="E28" i="3"/>
  <c r="F28" i="3" s="1"/>
  <c r="G28" i="3" s="1"/>
  <c r="I28" i="3" s="1"/>
  <c r="E15" i="3"/>
  <c r="C17" i="3"/>
  <c r="Q21" i="3"/>
  <c r="Q22" i="3"/>
  <c r="Q23" i="3"/>
  <c r="Q24" i="3"/>
  <c r="Q25" i="3"/>
  <c r="Q26" i="3"/>
  <c r="Q27" i="3"/>
  <c r="Q28" i="3"/>
  <c r="Q29" i="3"/>
  <c r="Q30" i="3"/>
  <c r="Q31" i="3"/>
  <c r="G11" i="2"/>
  <c r="F11" i="2"/>
  <c r="E26" i="2"/>
  <c r="F26" i="2"/>
  <c r="G26" i="2"/>
  <c r="E27" i="2"/>
  <c r="F27" i="2"/>
  <c r="G27" i="2"/>
  <c r="E28" i="2"/>
  <c r="F28" i="2"/>
  <c r="G28" i="2"/>
  <c r="I28" i="2"/>
  <c r="E29" i="2"/>
  <c r="F29" i="2"/>
  <c r="G29" i="2"/>
  <c r="I29" i="2"/>
  <c r="E30" i="2"/>
  <c r="F30" i="2"/>
  <c r="G30" i="2"/>
  <c r="E31" i="2"/>
  <c r="F31" i="2"/>
  <c r="G31" i="2"/>
  <c r="I31" i="2"/>
  <c r="E21" i="2"/>
  <c r="F21" i="2"/>
  <c r="E22" i="2"/>
  <c r="F22" i="2"/>
  <c r="E23" i="2"/>
  <c r="F23" i="2"/>
  <c r="G23" i="2"/>
  <c r="H23" i="2"/>
  <c r="E24" i="2"/>
  <c r="F24" i="2"/>
  <c r="G24" i="2"/>
  <c r="H24" i="2"/>
  <c r="E25" i="2"/>
  <c r="F25" i="2"/>
  <c r="E15" i="2"/>
  <c r="C17" i="2"/>
  <c r="G21" i="2"/>
  <c r="H21" i="2"/>
  <c r="Q21" i="2"/>
  <c r="G22" i="2"/>
  <c r="H22" i="2"/>
  <c r="Q22" i="2"/>
  <c r="Q23" i="2"/>
  <c r="Q24" i="2"/>
  <c r="G25" i="2"/>
  <c r="I25" i="2"/>
  <c r="Q25" i="2"/>
  <c r="I26" i="2"/>
  <c r="Q26" i="2"/>
  <c r="I27" i="2"/>
  <c r="Q27" i="2"/>
  <c r="Q28" i="2"/>
  <c r="Q29" i="2"/>
  <c r="I30" i="2"/>
  <c r="Q30" i="2"/>
  <c r="Q31" i="2"/>
  <c r="Q21" i="1"/>
  <c r="E21" i="1"/>
  <c r="F21" i="1"/>
  <c r="G21" i="1"/>
  <c r="I21" i="1"/>
  <c r="D9" i="1"/>
  <c r="C9" i="1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E26" i="1"/>
  <c r="F26" i="1"/>
  <c r="G26" i="1"/>
  <c r="J26" i="1"/>
  <c r="E27" i="1"/>
  <c r="F27" i="1"/>
  <c r="G27" i="1"/>
  <c r="J27" i="1"/>
  <c r="E28" i="1"/>
  <c r="F28" i="1"/>
  <c r="G28" i="1"/>
  <c r="J28" i="1"/>
  <c r="E29" i="1"/>
  <c r="F29" i="1"/>
  <c r="G29" i="1"/>
  <c r="J29" i="1"/>
  <c r="E30" i="1"/>
  <c r="F30" i="1"/>
  <c r="G30" i="1"/>
  <c r="J30" i="1"/>
  <c r="E31" i="1"/>
  <c r="F31" i="1"/>
  <c r="G31" i="1"/>
  <c r="J31" i="1"/>
  <c r="Q22" i="1"/>
  <c r="Q23" i="1"/>
  <c r="Q24" i="1"/>
  <c r="J25" i="1"/>
  <c r="Q25" i="1"/>
  <c r="Q26" i="1"/>
  <c r="Q27" i="1"/>
  <c r="Q28" i="1"/>
  <c r="Q29" i="1"/>
  <c r="Q30" i="1"/>
  <c r="Q31" i="1"/>
  <c r="F17" i="1"/>
  <c r="C17" i="1"/>
  <c r="C11" i="3"/>
  <c r="C11" i="1"/>
  <c r="C11" i="2"/>
  <c r="C12" i="7"/>
  <c r="C12" i="1"/>
  <c r="C11" i="7"/>
  <c r="C11" i="4"/>
  <c r="C12" i="3"/>
  <c r="E31" i="5" l="1"/>
  <c r="F31" i="5" s="1"/>
  <c r="G31" i="5" s="1"/>
  <c r="C17" i="5"/>
  <c r="C16" i="1"/>
  <c r="D18" i="1" s="1"/>
  <c r="C16" i="7"/>
  <c r="D18" i="7" s="1"/>
  <c r="O26" i="1"/>
  <c r="R26" i="1" s="1"/>
  <c r="O25" i="1"/>
  <c r="R25" i="1" s="1"/>
  <c r="O31" i="1"/>
  <c r="R31" i="1" s="1"/>
  <c r="O29" i="1"/>
  <c r="R29" i="1" s="1"/>
  <c r="O22" i="1"/>
  <c r="R22" i="1" s="1"/>
  <c r="O30" i="1"/>
  <c r="R30" i="1" s="1"/>
  <c r="O28" i="1"/>
  <c r="R28" i="1" s="1"/>
  <c r="O24" i="1"/>
  <c r="R24" i="1" s="1"/>
  <c r="C15" i="1"/>
  <c r="O23" i="1"/>
  <c r="R23" i="1" s="1"/>
  <c r="O27" i="1"/>
  <c r="R27" i="1" s="1"/>
  <c r="O21" i="1"/>
  <c r="R21" i="1" s="1"/>
  <c r="O22" i="3"/>
  <c r="O26" i="3"/>
  <c r="O28" i="3"/>
  <c r="O24" i="3"/>
  <c r="C15" i="3"/>
  <c r="O25" i="3"/>
  <c r="O30" i="3"/>
  <c r="O31" i="3"/>
  <c r="O27" i="3"/>
  <c r="O29" i="3"/>
  <c r="O23" i="3"/>
  <c r="O21" i="3"/>
  <c r="C16" i="3"/>
  <c r="D18" i="3" s="1"/>
  <c r="O28" i="7"/>
  <c r="R28" i="7" s="1"/>
  <c r="O21" i="7"/>
  <c r="R21" i="7" s="1"/>
  <c r="O26" i="7"/>
  <c r="R26" i="7" s="1"/>
  <c r="O22" i="7"/>
  <c r="R22" i="7" s="1"/>
  <c r="O27" i="7"/>
  <c r="R27" i="7" s="1"/>
  <c r="C15" i="7"/>
  <c r="O29" i="7"/>
  <c r="R29" i="7" s="1"/>
  <c r="O24" i="7"/>
  <c r="R24" i="7" s="1"/>
  <c r="O30" i="7"/>
  <c r="R30" i="7" s="1"/>
  <c r="O31" i="7"/>
  <c r="R31" i="7" s="1"/>
  <c r="O25" i="7"/>
  <c r="R25" i="7" s="1"/>
  <c r="O23" i="7"/>
  <c r="R23" i="7" s="1"/>
  <c r="C12" i="5"/>
  <c r="C11" i="5"/>
  <c r="C12" i="2"/>
  <c r="C12" i="4"/>
  <c r="O23" i="5" l="1"/>
  <c r="O32" i="5"/>
  <c r="O31" i="5"/>
  <c r="O22" i="5"/>
  <c r="O26" i="5"/>
  <c r="O30" i="5"/>
  <c r="O21" i="5"/>
  <c r="O25" i="5"/>
  <c r="O29" i="5"/>
  <c r="O27" i="5"/>
  <c r="O24" i="5"/>
  <c r="O28" i="5"/>
  <c r="C15" i="5"/>
  <c r="C16" i="5"/>
  <c r="D18" i="5" s="1"/>
  <c r="I31" i="5"/>
  <c r="E16" i="3"/>
  <c r="E17" i="3" s="1"/>
  <c r="R19" i="1"/>
  <c r="C16" i="4"/>
  <c r="D18" i="4" s="1"/>
  <c r="O21" i="4"/>
  <c r="O24" i="4"/>
  <c r="O27" i="4"/>
  <c r="C15" i="4"/>
  <c r="O30" i="4"/>
  <c r="O29" i="4"/>
  <c r="O25" i="4"/>
  <c r="O31" i="4"/>
  <c r="O22" i="4"/>
  <c r="O23" i="4"/>
  <c r="O26" i="4"/>
  <c r="O28" i="4"/>
  <c r="C16" i="2"/>
  <c r="D18" i="2" s="1"/>
  <c r="O21" i="2"/>
  <c r="O26" i="2"/>
  <c r="O28" i="2"/>
  <c r="O29" i="2"/>
  <c r="O22" i="2"/>
  <c r="O31" i="2"/>
  <c r="O27" i="2"/>
  <c r="C15" i="2"/>
  <c r="O23" i="2"/>
  <c r="O24" i="2"/>
  <c r="O25" i="2"/>
  <c r="O30" i="2"/>
  <c r="C18" i="7"/>
  <c r="F18" i="7"/>
  <c r="F19" i="7" s="1"/>
  <c r="F18" i="1"/>
  <c r="F19" i="1" s="1"/>
  <c r="C18" i="1"/>
  <c r="C18" i="3"/>
  <c r="R19" i="7"/>
  <c r="E16" i="5" l="1"/>
  <c r="E17" i="5" s="1"/>
  <c r="C18" i="5"/>
  <c r="C18" i="2"/>
  <c r="E16" i="2"/>
  <c r="E17" i="2" s="1"/>
  <c r="E16" i="4"/>
  <c r="E17" i="4" s="1"/>
  <c r="C18" i="4"/>
</calcChain>
</file>

<file path=xl/sharedStrings.xml><?xml version="1.0" encoding="utf-8"?>
<sst xmlns="http://schemas.openxmlformats.org/spreadsheetml/2006/main" count="418" uniqueCount="96">
  <si>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</si>
  <si>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</si>
  <si>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</si>
  <si>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</si>
  <si>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</si>
  <si>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</si>
  <si>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</si>
  <si>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</si>
  <si>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</si>
  <si>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</si>
  <si>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</si>
  <si>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</si>
  <si>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</si>
  <si>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</si>
  <si>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</si>
  <si>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</si>
  <si>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</si>
  <si>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</si>
  <si>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</si>
  <si>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</si>
  <si>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</si>
  <si>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</si>
  <si>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</si>
  <si>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</si>
  <si>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</si>
  <si>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</si>
  <si>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</si>
  <si>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</si>
  <si>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</si>
  <si>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</si>
  <si>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</si>
  <si>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</si>
  <si>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</si>
  <si>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</si>
  <si>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</si>
  <si>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</si>
  <si>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</si>
  <si>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BAV</t>
  </si>
  <si>
    <t>V379 Cep / GSC 03959-01686</t>
  </si>
  <si>
    <t>EA</t>
  </si>
  <si>
    <t>not avail.</t>
  </si>
  <si>
    <t>ToMcat 2010-03-13</t>
  </si>
  <si>
    <t>V0379 Cep / GSC 3959-1686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</si>
  <si>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</si>
  <si>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</si>
  <si>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</si>
  <si>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</si>
  <si>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</si>
  <si>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</si>
  <si>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</si>
  <si>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</si>
  <si>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</si>
  <si>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</si>
  <si>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</si>
  <si>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2441856.895 </t>
  </si>
  <si>
    <t> 23.06.1973 09:28 </t>
  </si>
  <si>
    <t> 0.000 </t>
  </si>
  <si>
    <t>E </t>
  </si>
  <si>
    <t>?</t>
  </si>
  <si>
    <t> G.C.Clayton </t>
  </si>
  <si>
    <t> PASP 108.401 </t>
  </si>
  <si>
    <t>2441905.850 </t>
  </si>
  <si>
    <t> 11.08.1973 08:24 </t>
  </si>
  <si>
    <t> -0.045 </t>
  </si>
  <si>
    <t>2441955.654 </t>
  </si>
  <si>
    <t> 30.09.1973 03:41 </t>
  </si>
  <si>
    <t> -0.241 </t>
  </si>
  <si>
    <t>2441956.615 </t>
  </si>
  <si>
    <t> 01.10.1973 02:45 </t>
  </si>
  <si>
    <t> -0.280 </t>
  </si>
  <si>
    <t>2449138.9529 </t>
  </si>
  <si>
    <t> 31.05.1993 10:52 </t>
  </si>
  <si>
    <t> -20.4421 </t>
  </si>
  <si>
    <t>2449238.7654 </t>
  </si>
  <si>
    <t> 08.09.1993 06:22 </t>
  </si>
  <si>
    <t> -20.6296 </t>
  </si>
  <si>
    <t>2449288.6808 </t>
  </si>
  <si>
    <t> 28.10.1993 04:20 </t>
  </si>
  <si>
    <t> -20.7142 </t>
  </si>
  <si>
    <t>2449338.5625 </t>
  </si>
  <si>
    <t> 17.12.1993 01:30 </t>
  </si>
  <si>
    <t> -20.8325 </t>
  </si>
  <si>
    <t>2449886.9276 </t>
  </si>
  <si>
    <t> 18.06.1995 10:15 </t>
  </si>
  <si>
    <t> -20.9674 </t>
  </si>
  <si>
    <t>2449986.7137 </t>
  </si>
  <si>
    <t> 26.09.1995 05:07 </t>
  </si>
  <si>
    <t> -21.1813 </t>
  </si>
  <si>
    <t>2450036.6324 </t>
  </si>
  <si>
    <t> 15.11.1995 03:10 </t>
  </si>
  <si>
    <t> -21.2626 </t>
  </si>
  <si>
    <t>All files active</t>
  </si>
  <si>
    <t>V0379 Cep / GSC 03959-01686</t>
  </si>
  <si>
    <t xml:space="preserve">V0379 Cep / GSC </t>
  </si>
  <si>
    <t>Vis?</t>
  </si>
  <si>
    <t>Vis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</si>
</sst>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56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8" fillId="0" borderId="1" applyNumberFormat="0" applyFont="0" applyFill="0" applyAlignment="0" applyProtection="0"/>
  </cellStyleXfs>
  <cellXfs count="7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12" fillId="0" borderId="0" xfId="0" applyFont="1" applyAlignment="1"/>
    <xf numFmtId="0" fontId="15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6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4" borderId="11" xfId="0" applyFont="1" applyFill="1" applyBorder="1" applyAlignment="1">
      <alignment horizontal="left" vertical="top" wrapText="1" indent="1"/>
    </xf>
    <xf numFmtId="0" fontId="5" fillId="4" borderId="11" xfId="0" applyFont="1" applyFill="1" applyBorder="1" applyAlignment="1">
      <alignment horizontal="center" vertical="top" wrapText="1"/>
    </xf>
    <xf numFmtId="0" fontId="5" fillId="4" borderId="11" xfId="0" applyFont="1" applyFill="1" applyBorder="1" applyAlignment="1">
      <alignment horizontal="right" vertical="top" wrapText="1"/>
    </xf>
    <xf numFmtId="0" fontId="17" fillId="0" borderId="0" xfId="0" applyFont="1" applyAlignment="1"/>
    <xf numFmtId="0" fontId="19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4" fillId="3" borderId="0" xfId="0" applyFont="1" applyFill="1" applyAlignment="1">
      <alignment vertical="center"/>
    </xf>
    <xf numFmtId="14" fontId="0" fillId="0" borderId="0" xfId="0" applyNumberFormat="1" applyAlignment="1">
      <alignment vertical="center"/>
    </xf>
    <xf numFmtId="0" fontId="10" fillId="2" borderId="0" xfId="0" applyFont="1" applyFill="1" applyAlignment="1">
      <alignment vertical="center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V379 Cep - O-C Diagr.</a:t>
            </a:r>
          </a:p>
        </c:rich>
      </c:tx>
      <c:layout>
        <c:manualLayout>
          <c:xMode val="edge"/>
          <c:yMode val="edge"/>
          <c:x val="0.3545611015490533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74182444061962"/>
          <c:y val="0.14035127795846455"/>
          <c:w val="0.8020654044750430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1'!$D$21:$D$237</c:f>
                <c:numCache>
                  <c:formatCode>General</c:formatCode>
                  <c:ptCount val="217"/>
                </c:numCache>
              </c:numRef>
            </c:plus>
            <c:minus>
              <c:numRef>
                <c:f>'Active 1'!$D$21:$D$237</c:f>
                <c:numCache>
                  <c:formatCode>General</c:formatCode>
                  <c:ptCount val="217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1'!$F$21:$F$997</c:f>
              <c:numCache>
                <c:formatCode>General</c:formatCode>
                <c:ptCount val="977"/>
                <c:pt idx="0">
                  <c:v>0</c:v>
                </c:pt>
                <c:pt idx="1">
                  <c:v>25.5</c:v>
                </c:pt>
                <c:pt idx="2">
                  <c:v>51.5</c:v>
                </c:pt>
                <c:pt idx="3">
                  <c:v>52</c:v>
                </c:pt>
                <c:pt idx="4">
                  <c:v>3792</c:v>
                </c:pt>
                <c:pt idx="5">
                  <c:v>3844</c:v>
                </c:pt>
                <c:pt idx="6">
                  <c:v>3870</c:v>
                </c:pt>
                <c:pt idx="7">
                  <c:v>3896</c:v>
                </c:pt>
                <c:pt idx="8">
                  <c:v>4181.5</c:v>
                </c:pt>
                <c:pt idx="9">
                  <c:v>4233.5</c:v>
                </c:pt>
                <c:pt idx="10">
                  <c:v>4259.5</c:v>
                </c:pt>
              </c:numCache>
            </c:numRef>
          </c:xVal>
          <c:yVal>
            <c:numRef>
              <c:f>'Active 1'!$H$21:$H$997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B12-4388-97BF-82E314E0E485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1'!$D$21:$D$997</c:f>
                <c:numCache>
                  <c:formatCode>General</c:formatCode>
                  <c:ptCount val="977"/>
                </c:numCache>
              </c:numRef>
            </c:plus>
            <c:minus>
              <c:numRef>
                <c:f>'Active 1'!$D$21:$D$997</c:f>
                <c:numCache>
                  <c:formatCode>General</c:formatCode>
                  <c:ptCount val="977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1'!$F$21:$F$997</c:f>
              <c:numCache>
                <c:formatCode>General</c:formatCode>
                <c:ptCount val="977"/>
                <c:pt idx="0">
                  <c:v>0</c:v>
                </c:pt>
                <c:pt idx="1">
                  <c:v>25.5</c:v>
                </c:pt>
                <c:pt idx="2">
                  <c:v>51.5</c:v>
                </c:pt>
                <c:pt idx="3">
                  <c:v>52</c:v>
                </c:pt>
                <c:pt idx="4">
                  <c:v>3792</c:v>
                </c:pt>
                <c:pt idx="5">
                  <c:v>3844</c:v>
                </c:pt>
                <c:pt idx="6">
                  <c:v>3870</c:v>
                </c:pt>
                <c:pt idx="7">
                  <c:v>3896</c:v>
                </c:pt>
                <c:pt idx="8">
                  <c:v>4181.5</c:v>
                </c:pt>
                <c:pt idx="9">
                  <c:v>4233.5</c:v>
                </c:pt>
                <c:pt idx="10">
                  <c:v>4259.5</c:v>
                </c:pt>
              </c:numCache>
            </c:numRef>
          </c:xVal>
          <c:yVal>
            <c:numRef>
              <c:f>'Active 1'!$I$21:$I$997</c:f>
              <c:numCache>
                <c:formatCode>General</c:formatCode>
                <c:ptCount val="977"/>
                <c:pt idx="0">
                  <c:v>0</c:v>
                </c:pt>
                <c:pt idx="1">
                  <c:v>-1.4486000000033528E-2</c:v>
                </c:pt>
                <c:pt idx="2">
                  <c:v>-0.14015799999469891</c:v>
                </c:pt>
                <c:pt idx="3">
                  <c:v>-0.1393439999956172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B12-4388-97BF-82E314E0E485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1'!$D$21:$D$997</c:f>
                <c:numCache>
                  <c:formatCode>General</c:formatCode>
                  <c:ptCount val="977"/>
                </c:numCache>
              </c:numRef>
            </c:plus>
            <c:minus>
              <c:numRef>
                <c:f>'Active 1'!$D$21:$D$997</c:f>
                <c:numCache>
                  <c:formatCode>General</c:formatCode>
                  <c:ptCount val="977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1'!$F$21:$F$997</c:f>
              <c:numCache>
                <c:formatCode>General</c:formatCode>
                <c:ptCount val="977"/>
                <c:pt idx="0">
                  <c:v>0</c:v>
                </c:pt>
                <c:pt idx="1">
                  <c:v>25.5</c:v>
                </c:pt>
                <c:pt idx="2">
                  <c:v>51.5</c:v>
                </c:pt>
                <c:pt idx="3">
                  <c:v>52</c:v>
                </c:pt>
                <c:pt idx="4">
                  <c:v>3792</c:v>
                </c:pt>
                <c:pt idx="5">
                  <c:v>3844</c:v>
                </c:pt>
                <c:pt idx="6">
                  <c:v>3870</c:v>
                </c:pt>
                <c:pt idx="7">
                  <c:v>3896</c:v>
                </c:pt>
                <c:pt idx="8">
                  <c:v>4181.5</c:v>
                </c:pt>
                <c:pt idx="9">
                  <c:v>4233.5</c:v>
                </c:pt>
                <c:pt idx="10">
                  <c:v>4259.5</c:v>
                </c:pt>
              </c:numCache>
            </c:numRef>
          </c:xVal>
          <c:yVal>
            <c:numRef>
              <c:f>'Active 1'!$J$21:$J$997</c:f>
              <c:numCache>
                <c:formatCode>General</c:formatCode>
                <c:ptCount val="977"/>
                <c:pt idx="4">
                  <c:v>7.2759999966365285E-3</c:v>
                </c:pt>
                <c:pt idx="5">
                  <c:v>-3.9568000000144821E-2</c:v>
                </c:pt>
                <c:pt idx="6">
                  <c:v>-5.3839999993215315E-2</c:v>
                </c:pt>
                <c:pt idx="7">
                  <c:v>-0.1018119999935152</c:v>
                </c:pt>
                <c:pt idx="8">
                  <c:v>-2.9179999910411425E-3</c:v>
                </c:pt>
                <c:pt idx="9">
                  <c:v>-7.6161999997566454E-2</c:v>
                </c:pt>
                <c:pt idx="10">
                  <c:v>-8.7133999993966427E-2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B12-4388-97BF-82E314E0E485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1'!$D$21:$D$997</c:f>
                <c:numCache>
                  <c:formatCode>General</c:formatCode>
                  <c:ptCount val="977"/>
                </c:numCache>
              </c:numRef>
            </c:plus>
            <c:minus>
              <c:numRef>
                <c:f>'Active 1'!$D$21:$D$997</c:f>
                <c:numCache>
                  <c:formatCode>General</c:formatCode>
                  <c:ptCount val="977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1'!$F$21:$F$997</c:f>
              <c:numCache>
                <c:formatCode>General</c:formatCode>
                <c:ptCount val="977"/>
                <c:pt idx="0">
                  <c:v>0</c:v>
                </c:pt>
                <c:pt idx="1">
                  <c:v>25.5</c:v>
                </c:pt>
                <c:pt idx="2">
                  <c:v>51.5</c:v>
                </c:pt>
                <c:pt idx="3">
                  <c:v>52</c:v>
                </c:pt>
                <c:pt idx="4">
                  <c:v>3792</c:v>
                </c:pt>
                <c:pt idx="5">
                  <c:v>3844</c:v>
                </c:pt>
                <c:pt idx="6">
                  <c:v>3870</c:v>
                </c:pt>
                <c:pt idx="7">
                  <c:v>3896</c:v>
                </c:pt>
                <c:pt idx="8">
                  <c:v>4181.5</c:v>
                </c:pt>
                <c:pt idx="9">
                  <c:v>4233.5</c:v>
                </c:pt>
                <c:pt idx="10">
                  <c:v>4259.5</c:v>
                </c:pt>
              </c:numCache>
            </c:numRef>
          </c:xVal>
          <c:yVal>
            <c:numRef>
              <c:f>'Active 1'!$K$21:$K$997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B12-4388-97BF-82E314E0E485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1'!$D$21:$D$997</c:f>
                <c:numCache>
                  <c:formatCode>General</c:formatCode>
                  <c:ptCount val="977"/>
                </c:numCache>
              </c:numRef>
            </c:plus>
            <c:minus>
              <c:numRef>
                <c:f>'Active 1'!$D$21:$D$997</c:f>
                <c:numCache>
                  <c:formatCode>General</c:formatCode>
                  <c:ptCount val="977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1'!$F$21:$F$997</c:f>
              <c:numCache>
                <c:formatCode>General</c:formatCode>
                <c:ptCount val="977"/>
                <c:pt idx="0">
                  <c:v>0</c:v>
                </c:pt>
                <c:pt idx="1">
                  <c:v>25.5</c:v>
                </c:pt>
                <c:pt idx="2">
                  <c:v>51.5</c:v>
                </c:pt>
                <c:pt idx="3">
                  <c:v>52</c:v>
                </c:pt>
                <c:pt idx="4">
                  <c:v>3792</c:v>
                </c:pt>
                <c:pt idx="5">
                  <c:v>3844</c:v>
                </c:pt>
                <c:pt idx="6">
                  <c:v>3870</c:v>
                </c:pt>
                <c:pt idx="7">
                  <c:v>3896</c:v>
                </c:pt>
                <c:pt idx="8">
                  <c:v>4181.5</c:v>
                </c:pt>
                <c:pt idx="9">
                  <c:v>4233.5</c:v>
                </c:pt>
                <c:pt idx="10">
                  <c:v>4259.5</c:v>
                </c:pt>
              </c:numCache>
            </c:numRef>
          </c:xVal>
          <c:yVal>
            <c:numRef>
              <c:f>'Active 1'!$L$21:$L$997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B12-4388-97BF-82E314E0E485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1'!$D$21:$D$997</c:f>
                <c:numCache>
                  <c:formatCode>General</c:formatCode>
                  <c:ptCount val="977"/>
                </c:numCache>
              </c:numRef>
            </c:plus>
            <c:minus>
              <c:numRef>
                <c:f>'Active 1'!$D$21:$D$997</c:f>
                <c:numCache>
                  <c:formatCode>General</c:formatCode>
                  <c:ptCount val="977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1'!$F$21:$F$997</c:f>
              <c:numCache>
                <c:formatCode>General</c:formatCode>
                <c:ptCount val="977"/>
                <c:pt idx="0">
                  <c:v>0</c:v>
                </c:pt>
                <c:pt idx="1">
                  <c:v>25.5</c:v>
                </c:pt>
                <c:pt idx="2">
                  <c:v>51.5</c:v>
                </c:pt>
                <c:pt idx="3">
                  <c:v>52</c:v>
                </c:pt>
                <c:pt idx="4">
                  <c:v>3792</c:v>
                </c:pt>
                <c:pt idx="5">
                  <c:v>3844</c:v>
                </c:pt>
                <c:pt idx="6">
                  <c:v>3870</c:v>
                </c:pt>
                <c:pt idx="7">
                  <c:v>3896</c:v>
                </c:pt>
                <c:pt idx="8">
                  <c:v>4181.5</c:v>
                </c:pt>
                <c:pt idx="9">
                  <c:v>4233.5</c:v>
                </c:pt>
                <c:pt idx="10">
                  <c:v>4259.5</c:v>
                </c:pt>
              </c:numCache>
            </c:numRef>
          </c:xVal>
          <c:yVal>
            <c:numRef>
              <c:f>'Active 1'!$M$21:$M$997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B12-4388-97BF-82E314E0E485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1'!$D$21:$D$997</c:f>
                <c:numCache>
                  <c:formatCode>General</c:formatCode>
                  <c:ptCount val="977"/>
                </c:numCache>
              </c:numRef>
            </c:plus>
            <c:minus>
              <c:numRef>
                <c:f>'Active 1'!$D$21:$D$997</c:f>
                <c:numCache>
                  <c:formatCode>General</c:formatCode>
                  <c:ptCount val="977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1'!$F$21:$F$997</c:f>
              <c:numCache>
                <c:formatCode>General</c:formatCode>
                <c:ptCount val="977"/>
                <c:pt idx="0">
                  <c:v>0</c:v>
                </c:pt>
                <c:pt idx="1">
                  <c:v>25.5</c:v>
                </c:pt>
                <c:pt idx="2">
                  <c:v>51.5</c:v>
                </c:pt>
                <c:pt idx="3">
                  <c:v>52</c:v>
                </c:pt>
                <c:pt idx="4">
                  <c:v>3792</c:v>
                </c:pt>
                <c:pt idx="5">
                  <c:v>3844</c:v>
                </c:pt>
                <c:pt idx="6">
                  <c:v>3870</c:v>
                </c:pt>
                <c:pt idx="7">
                  <c:v>3896</c:v>
                </c:pt>
                <c:pt idx="8">
                  <c:v>4181.5</c:v>
                </c:pt>
                <c:pt idx="9">
                  <c:v>4233.5</c:v>
                </c:pt>
                <c:pt idx="10">
                  <c:v>4259.5</c:v>
                </c:pt>
              </c:numCache>
            </c:numRef>
          </c:xVal>
          <c:yVal>
            <c:numRef>
              <c:f>'Active 1'!$N$21:$N$997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B12-4388-97BF-82E314E0E485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1'!$F$21:$F$997</c:f>
              <c:numCache>
                <c:formatCode>General</c:formatCode>
                <c:ptCount val="977"/>
                <c:pt idx="0">
                  <c:v>0</c:v>
                </c:pt>
                <c:pt idx="1">
                  <c:v>25.5</c:v>
                </c:pt>
                <c:pt idx="2">
                  <c:v>51.5</c:v>
                </c:pt>
                <c:pt idx="3">
                  <c:v>52</c:v>
                </c:pt>
                <c:pt idx="4">
                  <c:v>3792</c:v>
                </c:pt>
                <c:pt idx="5">
                  <c:v>3844</c:v>
                </c:pt>
                <c:pt idx="6">
                  <c:v>3870</c:v>
                </c:pt>
                <c:pt idx="7">
                  <c:v>3896</c:v>
                </c:pt>
                <c:pt idx="8">
                  <c:v>4181.5</c:v>
                </c:pt>
                <c:pt idx="9">
                  <c:v>4233.5</c:v>
                </c:pt>
                <c:pt idx="10">
                  <c:v>4259.5</c:v>
                </c:pt>
              </c:numCache>
            </c:numRef>
          </c:xVal>
          <c:yVal>
            <c:numRef>
              <c:f>'Active 1'!$O$21:$O$997</c:f>
              <c:numCache>
                <c:formatCode>General</c:formatCode>
                <c:ptCount val="977"/>
                <c:pt idx="0">
                  <c:v>-5.9685042679463764E-2</c:v>
                </c:pt>
                <c:pt idx="1">
                  <c:v>-5.9688532785056342E-2</c:v>
                </c:pt>
                <c:pt idx="2">
                  <c:v>-5.9692091324091916E-2</c:v>
                </c:pt>
                <c:pt idx="3">
                  <c:v>-5.9692159757534904E-2</c:v>
                </c:pt>
                <c:pt idx="4">
                  <c:v>-6.0204041911113268E-2</c:v>
                </c:pt>
                <c:pt idx="5">
                  <c:v>-6.0211158989184416E-2</c:v>
                </c:pt>
                <c:pt idx="6">
                  <c:v>-6.0214717528219983E-2</c:v>
                </c:pt>
                <c:pt idx="7">
                  <c:v>-6.0218276067255556E-2</c:v>
                </c:pt>
                <c:pt idx="8">
                  <c:v>-6.0257351563203852E-2</c:v>
                </c:pt>
                <c:pt idx="9">
                  <c:v>-6.0264468641274993E-2</c:v>
                </c:pt>
                <c:pt idx="10">
                  <c:v>-6.0268027180310567E-2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B12-4388-97BF-82E314E0E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7148472"/>
        <c:axId val="1"/>
      </c:scatterChart>
      <c:valAx>
        <c:axId val="4471484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3993115318416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56282271944923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71484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342512908777969"/>
          <c:y val="0.92397937099967764"/>
          <c:w val="0.7194492254733219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V0379</a:t>
            </a:r>
            <a:r>
              <a:rPr lang="en-AU" baseline="0"/>
              <a:t> Cep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2781954887218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2'!$D$21:$D$237</c:f>
                <c:numCache>
                  <c:formatCode>General</c:formatCode>
                  <c:ptCount val="217"/>
                </c:numCache>
              </c:numRef>
            </c:plus>
            <c:minus>
              <c:numRef>
                <c:f>'Active 2'!$D$21:$D$237</c:f>
                <c:numCache>
                  <c:formatCode>General</c:formatCode>
                  <c:ptCount val="217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2'!$F$21:$F$997</c:f>
              <c:numCache>
                <c:formatCode>General</c:formatCode>
                <c:ptCount val="977"/>
                <c:pt idx="0">
                  <c:v>0</c:v>
                </c:pt>
                <c:pt idx="1">
                  <c:v>25.5</c:v>
                </c:pt>
                <c:pt idx="2">
                  <c:v>51.5</c:v>
                </c:pt>
                <c:pt idx="3">
                  <c:v>52</c:v>
                </c:pt>
                <c:pt idx="4">
                  <c:v>3797</c:v>
                </c:pt>
                <c:pt idx="5">
                  <c:v>3849</c:v>
                </c:pt>
                <c:pt idx="6">
                  <c:v>3875</c:v>
                </c:pt>
                <c:pt idx="7">
                  <c:v>3901</c:v>
                </c:pt>
                <c:pt idx="8">
                  <c:v>4187</c:v>
                </c:pt>
                <c:pt idx="9">
                  <c:v>4239</c:v>
                </c:pt>
                <c:pt idx="10">
                  <c:v>4265</c:v>
                </c:pt>
              </c:numCache>
            </c:numRef>
          </c:xVal>
          <c:yVal>
            <c:numRef>
              <c:f>'Active 2'!$H$21:$H$997</c:f>
              <c:numCache>
                <c:formatCode>General</c:formatCode>
                <c:ptCount val="977"/>
                <c:pt idx="0">
                  <c:v>0</c:v>
                </c:pt>
                <c:pt idx="1">
                  <c:v>4.9468000004708301E-2</c:v>
                </c:pt>
                <c:pt idx="2">
                  <c:v>-1.0995999997248873E-2</c:v>
                </c:pt>
                <c:pt idx="3">
                  <c:v>-8.9279999956488609E-3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A71-499C-B985-72D8D5F344CE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2'!$D$21:$D$997</c:f>
                <c:numCache>
                  <c:formatCode>General</c:formatCode>
                  <c:ptCount val="977"/>
                </c:numCache>
              </c:numRef>
            </c:plus>
            <c:minus>
              <c:numRef>
                <c:f>'Active 2'!$D$21:$D$997</c:f>
                <c:numCache>
                  <c:formatCode>General</c:formatCode>
                  <c:ptCount val="977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2'!$F$21:$F$997</c:f>
              <c:numCache>
                <c:formatCode>General</c:formatCode>
                <c:ptCount val="977"/>
                <c:pt idx="0">
                  <c:v>0</c:v>
                </c:pt>
                <c:pt idx="1">
                  <c:v>25.5</c:v>
                </c:pt>
                <c:pt idx="2">
                  <c:v>51.5</c:v>
                </c:pt>
                <c:pt idx="3">
                  <c:v>52</c:v>
                </c:pt>
                <c:pt idx="4">
                  <c:v>3797</c:v>
                </c:pt>
                <c:pt idx="5">
                  <c:v>3849</c:v>
                </c:pt>
                <c:pt idx="6">
                  <c:v>3875</c:v>
                </c:pt>
                <c:pt idx="7">
                  <c:v>3901</c:v>
                </c:pt>
                <c:pt idx="8">
                  <c:v>4187</c:v>
                </c:pt>
                <c:pt idx="9">
                  <c:v>4239</c:v>
                </c:pt>
                <c:pt idx="10">
                  <c:v>4265</c:v>
                </c:pt>
              </c:numCache>
            </c:numRef>
          </c:xVal>
          <c:yVal>
            <c:numRef>
              <c:f>'Active 2'!$I$21:$I$997</c:f>
              <c:numCache>
                <c:formatCode>General</c:formatCode>
                <c:ptCount val="977"/>
                <c:pt idx="4">
                  <c:v>-7.1708000003127381E-2</c:v>
                </c:pt>
                <c:pt idx="5">
                  <c:v>1.1864000000059605E-2</c:v>
                </c:pt>
                <c:pt idx="6">
                  <c:v>6.2800000006973278E-2</c:v>
                </c:pt>
                <c:pt idx="7">
                  <c:v>8.0035999999381602E-2</c:v>
                </c:pt>
                <c:pt idx="8">
                  <c:v>-6.3967999994929414E-2</c:v>
                </c:pt>
                <c:pt idx="9">
                  <c:v>-6.7959999942104332E-3</c:v>
                </c:pt>
                <c:pt idx="10">
                  <c:v>4.7440000009373762E-2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A71-499C-B985-72D8D5F344CE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2'!$D$21:$D$997</c:f>
                <c:numCache>
                  <c:formatCode>General</c:formatCode>
                  <c:ptCount val="977"/>
                </c:numCache>
              </c:numRef>
            </c:plus>
            <c:minus>
              <c:numRef>
                <c:f>'Active 2'!$D$21:$D$997</c:f>
                <c:numCache>
                  <c:formatCode>General</c:formatCode>
                  <c:ptCount val="977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2'!$F$21:$F$997</c:f>
              <c:numCache>
                <c:formatCode>General</c:formatCode>
                <c:ptCount val="977"/>
                <c:pt idx="0">
                  <c:v>0</c:v>
                </c:pt>
                <c:pt idx="1">
                  <c:v>25.5</c:v>
                </c:pt>
                <c:pt idx="2">
                  <c:v>51.5</c:v>
                </c:pt>
                <c:pt idx="3">
                  <c:v>52</c:v>
                </c:pt>
                <c:pt idx="4">
                  <c:v>3797</c:v>
                </c:pt>
                <c:pt idx="5">
                  <c:v>3849</c:v>
                </c:pt>
                <c:pt idx="6">
                  <c:v>3875</c:v>
                </c:pt>
                <c:pt idx="7">
                  <c:v>3901</c:v>
                </c:pt>
                <c:pt idx="8">
                  <c:v>4187</c:v>
                </c:pt>
                <c:pt idx="9">
                  <c:v>4239</c:v>
                </c:pt>
                <c:pt idx="10">
                  <c:v>4265</c:v>
                </c:pt>
              </c:numCache>
            </c:numRef>
          </c:xVal>
          <c:yVal>
            <c:numRef>
              <c:f>'Active 2'!$J$21:$J$997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A71-499C-B985-72D8D5F344CE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2'!$D$21:$D$997</c:f>
                <c:numCache>
                  <c:formatCode>General</c:formatCode>
                  <c:ptCount val="977"/>
                </c:numCache>
              </c:numRef>
            </c:plus>
            <c:minus>
              <c:numRef>
                <c:f>'Active 2'!$D$21:$D$997</c:f>
                <c:numCache>
                  <c:formatCode>General</c:formatCode>
                  <c:ptCount val="977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2'!$F$21:$F$997</c:f>
              <c:numCache>
                <c:formatCode>General</c:formatCode>
                <c:ptCount val="977"/>
                <c:pt idx="0">
                  <c:v>0</c:v>
                </c:pt>
                <c:pt idx="1">
                  <c:v>25.5</c:v>
                </c:pt>
                <c:pt idx="2">
                  <c:v>51.5</c:v>
                </c:pt>
                <c:pt idx="3">
                  <c:v>52</c:v>
                </c:pt>
                <c:pt idx="4">
                  <c:v>3797</c:v>
                </c:pt>
                <c:pt idx="5">
                  <c:v>3849</c:v>
                </c:pt>
                <c:pt idx="6">
                  <c:v>3875</c:v>
                </c:pt>
                <c:pt idx="7">
                  <c:v>3901</c:v>
                </c:pt>
                <c:pt idx="8">
                  <c:v>4187</c:v>
                </c:pt>
                <c:pt idx="9">
                  <c:v>4239</c:v>
                </c:pt>
                <c:pt idx="10">
                  <c:v>4265</c:v>
                </c:pt>
              </c:numCache>
            </c:numRef>
          </c:xVal>
          <c:yVal>
            <c:numRef>
              <c:f>'Active 2'!$K$21:$K$997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A71-499C-B985-72D8D5F344CE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2'!$D$21:$D$997</c:f>
                <c:numCache>
                  <c:formatCode>General</c:formatCode>
                  <c:ptCount val="977"/>
                </c:numCache>
              </c:numRef>
            </c:plus>
            <c:minus>
              <c:numRef>
                <c:f>'Active 2'!$D$21:$D$997</c:f>
                <c:numCache>
                  <c:formatCode>General</c:formatCode>
                  <c:ptCount val="977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2'!$F$21:$F$997</c:f>
              <c:numCache>
                <c:formatCode>General</c:formatCode>
                <c:ptCount val="977"/>
                <c:pt idx="0">
                  <c:v>0</c:v>
                </c:pt>
                <c:pt idx="1">
                  <c:v>25.5</c:v>
                </c:pt>
                <c:pt idx="2">
                  <c:v>51.5</c:v>
                </c:pt>
                <c:pt idx="3">
                  <c:v>52</c:v>
                </c:pt>
                <c:pt idx="4">
                  <c:v>3797</c:v>
                </c:pt>
                <c:pt idx="5">
                  <c:v>3849</c:v>
                </c:pt>
                <c:pt idx="6">
                  <c:v>3875</c:v>
                </c:pt>
                <c:pt idx="7">
                  <c:v>3901</c:v>
                </c:pt>
                <c:pt idx="8">
                  <c:v>4187</c:v>
                </c:pt>
                <c:pt idx="9">
                  <c:v>4239</c:v>
                </c:pt>
                <c:pt idx="10">
                  <c:v>4265</c:v>
                </c:pt>
              </c:numCache>
            </c:numRef>
          </c:xVal>
          <c:yVal>
            <c:numRef>
              <c:f>'Active 2'!$L$21:$L$997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A71-499C-B985-72D8D5F344CE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2'!$D$21:$D$997</c:f>
                <c:numCache>
                  <c:formatCode>General</c:formatCode>
                  <c:ptCount val="977"/>
                </c:numCache>
              </c:numRef>
            </c:plus>
            <c:minus>
              <c:numRef>
                <c:f>'Active 2'!$D$21:$D$997</c:f>
                <c:numCache>
                  <c:formatCode>General</c:formatCode>
                  <c:ptCount val="977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2'!$F$21:$F$997</c:f>
              <c:numCache>
                <c:formatCode>General</c:formatCode>
                <c:ptCount val="977"/>
                <c:pt idx="0">
                  <c:v>0</c:v>
                </c:pt>
                <c:pt idx="1">
                  <c:v>25.5</c:v>
                </c:pt>
                <c:pt idx="2">
                  <c:v>51.5</c:v>
                </c:pt>
                <c:pt idx="3">
                  <c:v>52</c:v>
                </c:pt>
                <c:pt idx="4">
                  <c:v>3797</c:v>
                </c:pt>
                <c:pt idx="5">
                  <c:v>3849</c:v>
                </c:pt>
                <c:pt idx="6">
                  <c:v>3875</c:v>
                </c:pt>
                <c:pt idx="7">
                  <c:v>3901</c:v>
                </c:pt>
                <c:pt idx="8">
                  <c:v>4187</c:v>
                </c:pt>
                <c:pt idx="9">
                  <c:v>4239</c:v>
                </c:pt>
                <c:pt idx="10">
                  <c:v>4265</c:v>
                </c:pt>
              </c:numCache>
            </c:numRef>
          </c:xVal>
          <c:yVal>
            <c:numRef>
              <c:f>'Active 2'!$M$21:$M$997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A71-499C-B985-72D8D5F344CE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2'!$D$21:$D$997</c:f>
                <c:numCache>
                  <c:formatCode>General</c:formatCode>
                  <c:ptCount val="977"/>
                </c:numCache>
              </c:numRef>
            </c:plus>
            <c:minus>
              <c:numRef>
                <c:f>'Active 2'!$D$21:$D$997</c:f>
                <c:numCache>
                  <c:formatCode>General</c:formatCode>
                  <c:ptCount val="977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2'!$F$21:$F$997</c:f>
              <c:numCache>
                <c:formatCode>General</c:formatCode>
                <c:ptCount val="977"/>
                <c:pt idx="0">
                  <c:v>0</c:v>
                </c:pt>
                <c:pt idx="1">
                  <c:v>25.5</c:v>
                </c:pt>
                <c:pt idx="2">
                  <c:v>51.5</c:v>
                </c:pt>
                <c:pt idx="3">
                  <c:v>52</c:v>
                </c:pt>
                <c:pt idx="4">
                  <c:v>3797</c:v>
                </c:pt>
                <c:pt idx="5">
                  <c:v>3849</c:v>
                </c:pt>
                <c:pt idx="6">
                  <c:v>3875</c:v>
                </c:pt>
                <c:pt idx="7">
                  <c:v>3901</c:v>
                </c:pt>
                <c:pt idx="8">
                  <c:v>4187</c:v>
                </c:pt>
                <c:pt idx="9">
                  <c:v>4239</c:v>
                </c:pt>
                <c:pt idx="10">
                  <c:v>4265</c:v>
                </c:pt>
              </c:numCache>
            </c:numRef>
          </c:xVal>
          <c:yVal>
            <c:numRef>
              <c:f>'Active 2'!$N$21:$N$997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A71-499C-B985-72D8D5F344CE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2'!$F$21:$F$997</c:f>
              <c:numCache>
                <c:formatCode>General</c:formatCode>
                <c:ptCount val="977"/>
                <c:pt idx="0">
                  <c:v>0</c:v>
                </c:pt>
                <c:pt idx="1">
                  <c:v>25.5</c:v>
                </c:pt>
                <c:pt idx="2">
                  <c:v>51.5</c:v>
                </c:pt>
                <c:pt idx="3">
                  <c:v>52</c:v>
                </c:pt>
                <c:pt idx="4">
                  <c:v>3797</c:v>
                </c:pt>
                <c:pt idx="5">
                  <c:v>3849</c:v>
                </c:pt>
                <c:pt idx="6">
                  <c:v>3875</c:v>
                </c:pt>
                <c:pt idx="7">
                  <c:v>3901</c:v>
                </c:pt>
                <c:pt idx="8">
                  <c:v>4187</c:v>
                </c:pt>
                <c:pt idx="9">
                  <c:v>4239</c:v>
                </c:pt>
                <c:pt idx="10">
                  <c:v>4265</c:v>
                </c:pt>
              </c:numCache>
            </c:numRef>
          </c:xVal>
          <c:yVal>
            <c:numRef>
              <c:f>'Active 2'!$O$21:$O$997</c:f>
              <c:numCache>
                <c:formatCode>General</c:formatCode>
                <c:ptCount val="977"/>
                <c:pt idx="0">
                  <c:v>-5.8512596155862697</c:v>
                </c:pt>
                <c:pt idx="1">
                  <c:v>-5.816035708991607</c:v>
                </c:pt>
                <c:pt idx="2">
                  <c:v>-5.7801211375617543</c:v>
                </c:pt>
                <c:pt idx="3">
                  <c:v>-5.7794304727265651</c:v>
                </c:pt>
                <c:pt idx="4">
                  <c:v>-0.60635085715745962</c:v>
                </c:pt>
                <c:pt idx="5">
                  <c:v>-0.53452171429775586</c:v>
                </c:pt>
                <c:pt idx="6">
                  <c:v>-0.49860714286790309</c:v>
                </c:pt>
                <c:pt idx="7">
                  <c:v>-0.4626925714380512</c:v>
                </c:pt>
                <c:pt idx="8">
                  <c:v>-6.7632285709676054E-2</c:v>
                </c:pt>
                <c:pt idx="9">
                  <c:v>4.1968571500285989E-3</c:v>
                </c:pt>
                <c:pt idx="10">
                  <c:v>4.0111428579880481E-2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A71-499C-B985-72D8D5F34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1216520"/>
        <c:axId val="1"/>
      </c:scatterChart>
      <c:valAx>
        <c:axId val="6512165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7894736842105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12165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210526315789474"/>
          <c:y val="0.92375366568914952"/>
          <c:w val="0.63458646616541359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V0379 Cep - O-C Diagr.</a:t>
            </a:r>
          </a:p>
        </c:rich>
      </c:tx>
      <c:layout>
        <c:manualLayout>
          <c:xMode val="edge"/>
          <c:yMode val="edge"/>
          <c:x val="0.3729323308270676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2781954887218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3'!$H$20:$H$20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3'!$D$21:$D$237</c:f>
                <c:numCache>
                  <c:formatCode>General</c:formatCode>
                  <c:ptCount val="217"/>
                </c:numCache>
              </c:numRef>
            </c:plus>
            <c:minus>
              <c:numRef>
                <c:f>'Active 3'!$D$21:$D$237</c:f>
                <c:numCache>
                  <c:formatCode>General</c:formatCode>
                  <c:ptCount val="217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3'!$F$21:$F$997</c:f>
              <c:numCache>
                <c:formatCode>General</c:formatCode>
                <c:ptCount val="977"/>
                <c:pt idx="0">
                  <c:v>5</c:v>
                </c:pt>
                <c:pt idx="1">
                  <c:v>56</c:v>
                </c:pt>
                <c:pt idx="2">
                  <c:v>108</c:v>
                </c:pt>
                <c:pt idx="3">
                  <c:v>109</c:v>
                </c:pt>
                <c:pt idx="4">
                  <c:v>7594.5</c:v>
                </c:pt>
                <c:pt idx="5">
                  <c:v>7698.5</c:v>
                </c:pt>
                <c:pt idx="6">
                  <c:v>7750.5</c:v>
                </c:pt>
                <c:pt idx="7">
                  <c:v>7802.5</c:v>
                </c:pt>
                <c:pt idx="8">
                  <c:v>8374</c:v>
                </c:pt>
                <c:pt idx="9">
                  <c:v>8478</c:v>
                </c:pt>
                <c:pt idx="10">
                  <c:v>8530</c:v>
                </c:pt>
              </c:numCache>
            </c:numRef>
          </c:xVal>
          <c:yVal>
            <c:numRef>
              <c:f>'Active 3'!$H$21:$H$997</c:f>
              <c:numCache>
                <c:formatCode>General</c:formatCode>
                <c:ptCount val="977"/>
                <c:pt idx="0">
                  <c:v>-4.7946599999995669</c:v>
                </c:pt>
                <c:pt idx="1">
                  <c:v>-4.7451919999948586</c:v>
                </c:pt>
                <c:pt idx="2">
                  <c:v>-4.8056559999968158</c:v>
                </c:pt>
                <c:pt idx="3">
                  <c:v>-4.8035879999952158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A06-4C47-A972-D3FE39E78265}"/>
            </c:ext>
          </c:extLst>
        </c:ser>
        <c:ser>
          <c:idx val="1"/>
          <c:order val="1"/>
          <c:tx>
            <c:strRef>
              <c:f>'Active 3'!$I$20:$I$20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3'!$D$21:$D$997</c:f>
                <c:numCache>
                  <c:formatCode>General</c:formatCode>
                  <c:ptCount val="977"/>
                </c:numCache>
              </c:numRef>
            </c:plus>
            <c:minus>
              <c:numRef>
                <c:f>'Active 3'!$D$21:$D$997</c:f>
                <c:numCache>
                  <c:formatCode>General</c:formatCode>
                  <c:ptCount val="977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3'!$F$21:$F$997</c:f>
              <c:numCache>
                <c:formatCode>General</c:formatCode>
                <c:ptCount val="977"/>
                <c:pt idx="0">
                  <c:v>5</c:v>
                </c:pt>
                <c:pt idx="1">
                  <c:v>56</c:v>
                </c:pt>
                <c:pt idx="2">
                  <c:v>108</c:v>
                </c:pt>
                <c:pt idx="3">
                  <c:v>109</c:v>
                </c:pt>
                <c:pt idx="4">
                  <c:v>7594.5</c:v>
                </c:pt>
                <c:pt idx="5">
                  <c:v>7698.5</c:v>
                </c:pt>
                <c:pt idx="6">
                  <c:v>7750.5</c:v>
                </c:pt>
                <c:pt idx="7">
                  <c:v>7802.5</c:v>
                </c:pt>
                <c:pt idx="8">
                  <c:v>8374</c:v>
                </c:pt>
                <c:pt idx="9">
                  <c:v>8478</c:v>
                </c:pt>
                <c:pt idx="10">
                  <c:v>8530</c:v>
                </c:pt>
              </c:numCache>
            </c:numRef>
          </c:xVal>
          <c:yVal>
            <c:numRef>
              <c:f>'Active 3'!$I$21:$I$997</c:f>
              <c:numCache>
                <c:formatCode>General</c:formatCode>
                <c:ptCount val="977"/>
                <c:pt idx="4">
                  <c:v>-0.55117400000017369</c:v>
                </c:pt>
                <c:pt idx="5">
                  <c:v>-0.46760199999698671</c:v>
                </c:pt>
                <c:pt idx="6">
                  <c:v>-0.41666599999734899</c:v>
                </c:pt>
                <c:pt idx="7">
                  <c:v>-0.39942999999766471</c:v>
                </c:pt>
                <c:pt idx="8">
                  <c:v>-6.3967999994929414E-2</c:v>
                </c:pt>
                <c:pt idx="9">
                  <c:v>-6.7959999942104332E-3</c:v>
                </c:pt>
                <c:pt idx="10">
                  <c:v>4.7440000009373762E-2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A06-4C47-A972-D3FE39E78265}"/>
            </c:ext>
          </c:extLst>
        </c:ser>
        <c:ser>
          <c:idx val="3"/>
          <c:order val="2"/>
          <c:tx>
            <c:strRef>
              <c:f>'Active 3'!$J$20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3'!$D$21:$D$997</c:f>
                <c:numCache>
                  <c:formatCode>General</c:formatCode>
                  <c:ptCount val="977"/>
                </c:numCache>
              </c:numRef>
            </c:plus>
            <c:minus>
              <c:numRef>
                <c:f>'Active 3'!$D$21:$D$997</c:f>
                <c:numCache>
                  <c:formatCode>General</c:formatCode>
                  <c:ptCount val="977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3'!$F$21:$F$997</c:f>
              <c:numCache>
                <c:formatCode>General</c:formatCode>
                <c:ptCount val="977"/>
                <c:pt idx="0">
                  <c:v>5</c:v>
                </c:pt>
                <c:pt idx="1">
                  <c:v>56</c:v>
                </c:pt>
                <c:pt idx="2">
                  <c:v>108</c:v>
                </c:pt>
                <c:pt idx="3">
                  <c:v>109</c:v>
                </c:pt>
                <c:pt idx="4">
                  <c:v>7594.5</c:v>
                </c:pt>
                <c:pt idx="5">
                  <c:v>7698.5</c:v>
                </c:pt>
                <c:pt idx="6">
                  <c:v>7750.5</c:v>
                </c:pt>
                <c:pt idx="7">
                  <c:v>7802.5</c:v>
                </c:pt>
                <c:pt idx="8">
                  <c:v>8374</c:v>
                </c:pt>
                <c:pt idx="9">
                  <c:v>8478</c:v>
                </c:pt>
                <c:pt idx="10">
                  <c:v>8530</c:v>
                </c:pt>
              </c:numCache>
            </c:numRef>
          </c:xVal>
          <c:yVal>
            <c:numRef>
              <c:f>'Active 3'!$J$21:$J$997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A06-4C47-A972-D3FE39E78265}"/>
            </c:ext>
          </c:extLst>
        </c:ser>
        <c:ser>
          <c:idx val="4"/>
          <c:order val="3"/>
          <c:tx>
            <c:strRef>
              <c:f>'Active 3'!$K$20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3'!$D$21:$D$997</c:f>
                <c:numCache>
                  <c:formatCode>General</c:formatCode>
                  <c:ptCount val="977"/>
                </c:numCache>
              </c:numRef>
            </c:plus>
            <c:minus>
              <c:numRef>
                <c:f>'Active 3'!$D$21:$D$997</c:f>
                <c:numCache>
                  <c:formatCode>General</c:formatCode>
                  <c:ptCount val="977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3'!$F$21:$F$997</c:f>
              <c:numCache>
                <c:formatCode>General</c:formatCode>
                <c:ptCount val="977"/>
                <c:pt idx="0">
                  <c:v>5</c:v>
                </c:pt>
                <c:pt idx="1">
                  <c:v>56</c:v>
                </c:pt>
                <c:pt idx="2">
                  <c:v>108</c:v>
                </c:pt>
                <c:pt idx="3">
                  <c:v>109</c:v>
                </c:pt>
                <c:pt idx="4">
                  <c:v>7594.5</c:v>
                </c:pt>
                <c:pt idx="5">
                  <c:v>7698.5</c:v>
                </c:pt>
                <c:pt idx="6">
                  <c:v>7750.5</c:v>
                </c:pt>
                <c:pt idx="7">
                  <c:v>7802.5</c:v>
                </c:pt>
                <c:pt idx="8">
                  <c:v>8374</c:v>
                </c:pt>
                <c:pt idx="9">
                  <c:v>8478</c:v>
                </c:pt>
                <c:pt idx="10">
                  <c:v>8530</c:v>
                </c:pt>
              </c:numCache>
            </c:numRef>
          </c:xVal>
          <c:yVal>
            <c:numRef>
              <c:f>'Active 3'!$K$21:$K$997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A06-4C47-A972-D3FE39E78265}"/>
            </c:ext>
          </c:extLst>
        </c:ser>
        <c:ser>
          <c:idx val="2"/>
          <c:order val="4"/>
          <c:tx>
            <c:strRef>
              <c:f>'Active 3'!$L$20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3'!$D$21:$D$997</c:f>
                <c:numCache>
                  <c:formatCode>General</c:formatCode>
                  <c:ptCount val="977"/>
                </c:numCache>
              </c:numRef>
            </c:plus>
            <c:minus>
              <c:numRef>
                <c:f>'Active 3'!$D$21:$D$997</c:f>
                <c:numCache>
                  <c:formatCode>General</c:formatCode>
                  <c:ptCount val="977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3'!$F$21:$F$997</c:f>
              <c:numCache>
                <c:formatCode>General</c:formatCode>
                <c:ptCount val="977"/>
                <c:pt idx="0">
                  <c:v>5</c:v>
                </c:pt>
                <c:pt idx="1">
                  <c:v>56</c:v>
                </c:pt>
                <c:pt idx="2">
                  <c:v>108</c:v>
                </c:pt>
                <c:pt idx="3">
                  <c:v>109</c:v>
                </c:pt>
                <c:pt idx="4">
                  <c:v>7594.5</c:v>
                </c:pt>
                <c:pt idx="5">
                  <c:v>7698.5</c:v>
                </c:pt>
                <c:pt idx="6">
                  <c:v>7750.5</c:v>
                </c:pt>
                <c:pt idx="7">
                  <c:v>7802.5</c:v>
                </c:pt>
                <c:pt idx="8">
                  <c:v>8374</c:v>
                </c:pt>
                <c:pt idx="9">
                  <c:v>8478</c:v>
                </c:pt>
                <c:pt idx="10">
                  <c:v>8530</c:v>
                </c:pt>
              </c:numCache>
            </c:numRef>
          </c:xVal>
          <c:yVal>
            <c:numRef>
              <c:f>'Active 3'!$L$21:$L$997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A06-4C47-A972-D3FE39E78265}"/>
            </c:ext>
          </c:extLst>
        </c:ser>
        <c:ser>
          <c:idx val="5"/>
          <c:order val="5"/>
          <c:tx>
            <c:strRef>
              <c:f>'Active 3'!$M$20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3'!$D$21:$D$997</c:f>
                <c:numCache>
                  <c:formatCode>General</c:formatCode>
                  <c:ptCount val="977"/>
                </c:numCache>
              </c:numRef>
            </c:plus>
            <c:minus>
              <c:numRef>
                <c:f>'Active 3'!$D$21:$D$997</c:f>
                <c:numCache>
                  <c:formatCode>General</c:formatCode>
                  <c:ptCount val="977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3'!$F$21:$F$997</c:f>
              <c:numCache>
                <c:formatCode>General</c:formatCode>
                <c:ptCount val="977"/>
                <c:pt idx="0">
                  <c:v>5</c:v>
                </c:pt>
                <c:pt idx="1">
                  <c:v>56</c:v>
                </c:pt>
                <c:pt idx="2">
                  <c:v>108</c:v>
                </c:pt>
                <c:pt idx="3">
                  <c:v>109</c:v>
                </c:pt>
                <c:pt idx="4">
                  <c:v>7594.5</c:v>
                </c:pt>
                <c:pt idx="5">
                  <c:v>7698.5</c:v>
                </c:pt>
                <c:pt idx="6">
                  <c:v>7750.5</c:v>
                </c:pt>
                <c:pt idx="7">
                  <c:v>7802.5</c:v>
                </c:pt>
                <c:pt idx="8">
                  <c:v>8374</c:v>
                </c:pt>
                <c:pt idx="9">
                  <c:v>8478</c:v>
                </c:pt>
                <c:pt idx="10">
                  <c:v>8530</c:v>
                </c:pt>
              </c:numCache>
            </c:numRef>
          </c:xVal>
          <c:yVal>
            <c:numRef>
              <c:f>'Active 3'!$M$21:$M$997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A06-4C47-A972-D3FE39E78265}"/>
            </c:ext>
          </c:extLst>
        </c:ser>
        <c:ser>
          <c:idx val="6"/>
          <c:order val="6"/>
          <c:tx>
            <c:strRef>
              <c:f>'Active 3'!$N$20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3'!$D$21:$D$997</c:f>
                <c:numCache>
                  <c:formatCode>General</c:formatCode>
                  <c:ptCount val="977"/>
                </c:numCache>
              </c:numRef>
            </c:plus>
            <c:minus>
              <c:numRef>
                <c:f>'Active 3'!$D$21:$D$997</c:f>
                <c:numCache>
                  <c:formatCode>General</c:formatCode>
                  <c:ptCount val="977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3'!$F$21:$F$997</c:f>
              <c:numCache>
                <c:formatCode>General</c:formatCode>
                <c:ptCount val="977"/>
                <c:pt idx="0">
                  <c:v>5</c:v>
                </c:pt>
                <c:pt idx="1">
                  <c:v>56</c:v>
                </c:pt>
                <c:pt idx="2">
                  <c:v>108</c:v>
                </c:pt>
                <c:pt idx="3">
                  <c:v>109</c:v>
                </c:pt>
                <c:pt idx="4">
                  <c:v>7594.5</c:v>
                </c:pt>
                <c:pt idx="5">
                  <c:v>7698.5</c:v>
                </c:pt>
                <c:pt idx="6">
                  <c:v>7750.5</c:v>
                </c:pt>
                <c:pt idx="7">
                  <c:v>7802.5</c:v>
                </c:pt>
                <c:pt idx="8">
                  <c:v>8374</c:v>
                </c:pt>
                <c:pt idx="9">
                  <c:v>8478</c:v>
                </c:pt>
                <c:pt idx="10">
                  <c:v>8530</c:v>
                </c:pt>
              </c:numCache>
            </c:numRef>
          </c:xVal>
          <c:yVal>
            <c:numRef>
              <c:f>'Active 3'!$N$21:$N$997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A06-4C47-A972-D3FE39E78265}"/>
            </c:ext>
          </c:extLst>
        </c:ser>
        <c:ser>
          <c:idx val="7"/>
          <c:order val="7"/>
          <c:tx>
            <c:strRef>
              <c:f>'Active 3'!$O$20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3'!$F$21:$F$997</c:f>
              <c:numCache>
                <c:formatCode>General</c:formatCode>
                <c:ptCount val="977"/>
                <c:pt idx="0">
                  <c:v>5</c:v>
                </c:pt>
                <c:pt idx="1">
                  <c:v>56</c:v>
                </c:pt>
                <c:pt idx="2">
                  <c:v>108</c:v>
                </c:pt>
                <c:pt idx="3">
                  <c:v>109</c:v>
                </c:pt>
                <c:pt idx="4">
                  <c:v>7594.5</c:v>
                </c:pt>
                <c:pt idx="5">
                  <c:v>7698.5</c:v>
                </c:pt>
                <c:pt idx="6">
                  <c:v>7750.5</c:v>
                </c:pt>
                <c:pt idx="7">
                  <c:v>7802.5</c:v>
                </c:pt>
                <c:pt idx="8">
                  <c:v>8374</c:v>
                </c:pt>
                <c:pt idx="9">
                  <c:v>8478</c:v>
                </c:pt>
                <c:pt idx="10">
                  <c:v>8530</c:v>
                </c:pt>
              </c:numCache>
            </c:numRef>
          </c:xVal>
          <c:yVal>
            <c:numRef>
              <c:f>'Active 3'!$O$21:$O$997</c:f>
              <c:numCache>
                <c:formatCode>General</c:formatCode>
                <c:ptCount val="977"/>
                <c:pt idx="0">
                  <c:v>-5.1364303485528664</c:v>
                </c:pt>
                <c:pt idx="1">
                  <c:v>-5.1054845432312996</c:v>
                </c:pt>
                <c:pt idx="2">
                  <c:v>-5.0739319574132313</c:v>
                </c:pt>
                <c:pt idx="3">
                  <c:v>-5.0733251769167307</c:v>
                </c:pt>
                <c:pt idx="4">
                  <c:v>-0.53126977035617262</c:v>
                </c:pt>
                <c:pt idx="5">
                  <c:v>-0.46816459872003602</c:v>
                </c:pt>
                <c:pt idx="6">
                  <c:v>-0.4366120129019686</c:v>
                </c:pt>
                <c:pt idx="7">
                  <c:v>-0.4050594270839003</c:v>
                </c:pt>
                <c:pt idx="8">
                  <c:v>-5.8284373333401085E-2</c:v>
                </c:pt>
                <c:pt idx="9">
                  <c:v>4.8207983027346302E-3</c:v>
                </c:pt>
                <c:pt idx="10">
                  <c:v>3.6373384120802932E-2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A06-4C47-A972-D3FE39E78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9514232"/>
        <c:axId val="1"/>
      </c:scatterChart>
      <c:valAx>
        <c:axId val="7295142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7894736842105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95142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210526315789474"/>
          <c:y val="0.92375366568914952"/>
          <c:w val="0.63458646616541359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V379 Cep - O-C Diagr.</a:t>
            </a:r>
          </a:p>
        </c:rich>
      </c:tx>
      <c:layout>
        <c:manualLayout>
          <c:xMode val="edge"/>
          <c:yMode val="edge"/>
          <c:x val="0.3729323308270676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4'!$H$20:$H$20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4'!$D$21:$D$237</c:f>
                <c:numCache>
                  <c:formatCode>General</c:formatCode>
                  <c:ptCount val="217"/>
                </c:numCache>
              </c:numRef>
            </c:plus>
            <c:minus>
              <c:numRef>
                <c:f>'Active 4'!$D$21:$D$237</c:f>
                <c:numCache>
                  <c:formatCode>General</c:formatCode>
                  <c:ptCount val="217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4'!$F$21:$F$997</c:f>
              <c:numCache>
                <c:formatCode>General</c:formatCode>
                <c:ptCount val="977"/>
                <c:pt idx="0">
                  <c:v>-8524.5</c:v>
                </c:pt>
                <c:pt idx="1">
                  <c:v>-8473.5</c:v>
                </c:pt>
                <c:pt idx="2">
                  <c:v>-8421.5</c:v>
                </c:pt>
                <c:pt idx="3">
                  <c:v>-8420.5</c:v>
                </c:pt>
                <c:pt idx="4">
                  <c:v>-935.5</c:v>
                </c:pt>
                <c:pt idx="5">
                  <c:v>-831.5</c:v>
                </c:pt>
                <c:pt idx="6">
                  <c:v>-779.5</c:v>
                </c:pt>
                <c:pt idx="7">
                  <c:v>-727.5</c:v>
                </c:pt>
                <c:pt idx="8">
                  <c:v>-156</c:v>
                </c:pt>
                <c:pt idx="9">
                  <c:v>-52</c:v>
                </c:pt>
                <c:pt idx="10">
                  <c:v>0</c:v>
                </c:pt>
              </c:numCache>
            </c:numRef>
          </c:xVal>
          <c:yVal>
            <c:numRef>
              <c:f>'Active 4'!$H$21:$H$997</c:f>
              <c:numCache>
                <c:formatCode>General</c:formatCode>
                <c:ptCount val="977"/>
                <c:pt idx="0">
                  <c:v>-0.13799904168990906</c:v>
                </c:pt>
                <c:pt idx="1">
                  <c:v>-0.11947684700862737</c:v>
                </c:pt>
                <c:pt idx="2">
                  <c:v>-0.21149343282741029</c:v>
                </c:pt>
                <c:pt idx="3">
                  <c:v>-0.21003221332648536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2C0-42FE-9063-AC760E8CDCF7}"/>
            </c:ext>
          </c:extLst>
        </c:ser>
        <c:ser>
          <c:idx val="1"/>
          <c:order val="1"/>
          <c:tx>
            <c:strRef>
              <c:f>'Active 4'!$I$20:$I$20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4'!$D$21:$D$997</c:f>
                <c:numCache>
                  <c:formatCode>General</c:formatCode>
                  <c:ptCount val="977"/>
                </c:numCache>
              </c:numRef>
            </c:plus>
            <c:minus>
              <c:numRef>
                <c:f>'Active 4'!$D$21:$D$997</c:f>
                <c:numCache>
                  <c:formatCode>General</c:formatCode>
                  <c:ptCount val="977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4'!$F$21:$F$997</c:f>
              <c:numCache>
                <c:formatCode>General</c:formatCode>
                <c:ptCount val="977"/>
                <c:pt idx="0">
                  <c:v>-8524.5</c:v>
                </c:pt>
                <c:pt idx="1">
                  <c:v>-8473.5</c:v>
                </c:pt>
                <c:pt idx="2">
                  <c:v>-8421.5</c:v>
                </c:pt>
                <c:pt idx="3">
                  <c:v>-8420.5</c:v>
                </c:pt>
                <c:pt idx="4">
                  <c:v>-935.5</c:v>
                </c:pt>
                <c:pt idx="5">
                  <c:v>-831.5</c:v>
                </c:pt>
                <c:pt idx="6">
                  <c:v>-779.5</c:v>
                </c:pt>
                <c:pt idx="7">
                  <c:v>-727.5</c:v>
                </c:pt>
                <c:pt idx="8">
                  <c:v>-156</c:v>
                </c:pt>
                <c:pt idx="9">
                  <c:v>-52</c:v>
                </c:pt>
                <c:pt idx="10">
                  <c:v>0</c:v>
                </c:pt>
              </c:numCache>
            </c:numRef>
          </c:xVal>
          <c:yVal>
            <c:numRef>
              <c:f>'Active 4'!$I$21:$I$997</c:f>
              <c:numCache>
                <c:formatCode>General</c:formatCode>
                <c:ptCount val="977"/>
                <c:pt idx="4">
                  <c:v>-1.9904229644453153E-2</c:v>
                </c:pt>
                <c:pt idx="5">
                  <c:v>5.6259872508235276E-4</c:v>
                </c:pt>
                <c:pt idx="6">
                  <c:v>1.9946012907894328E-2</c:v>
                </c:pt>
                <c:pt idx="7">
                  <c:v>5.6294270907528698E-3</c:v>
                </c:pt>
                <c:pt idx="8">
                  <c:v>-5.6836266594473273E-3</c:v>
                </c:pt>
                <c:pt idx="9">
                  <c:v>-1.1616798299655784E-2</c:v>
                </c:pt>
                <c:pt idx="10">
                  <c:v>1.1066615887102671E-2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2C0-42FE-9063-AC760E8CDCF7}"/>
            </c:ext>
          </c:extLst>
        </c:ser>
        <c:ser>
          <c:idx val="3"/>
          <c:order val="2"/>
          <c:tx>
            <c:strRef>
              <c:f>'Active 4'!$J$20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4'!$D$21:$D$997</c:f>
                <c:numCache>
                  <c:formatCode>General</c:formatCode>
                  <c:ptCount val="977"/>
                </c:numCache>
              </c:numRef>
            </c:plus>
            <c:minus>
              <c:numRef>
                <c:f>'Active 4'!$D$21:$D$997</c:f>
                <c:numCache>
                  <c:formatCode>General</c:formatCode>
                  <c:ptCount val="977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4'!$F$21:$F$997</c:f>
              <c:numCache>
                <c:formatCode>General</c:formatCode>
                <c:ptCount val="977"/>
                <c:pt idx="0">
                  <c:v>-8524.5</c:v>
                </c:pt>
                <c:pt idx="1">
                  <c:v>-8473.5</c:v>
                </c:pt>
                <c:pt idx="2">
                  <c:v>-8421.5</c:v>
                </c:pt>
                <c:pt idx="3">
                  <c:v>-8420.5</c:v>
                </c:pt>
                <c:pt idx="4">
                  <c:v>-935.5</c:v>
                </c:pt>
                <c:pt idx="5">
                  <c:v>-831.5</c:v>
                </c:pt>
                <c:pt idx="6">
                  <c:v>-779.5</c:v>
                </c:pt>
                <c:pt idx="7">
                  <c:v>-727.5</c:v>
                </c:pt>
                <c:pt idx="8">
                  <c:v>-156</c:v>
                </c:pt>
                <c:pt idx="9">
                  <c:v>-52</c:v>
                </c:pt>
                <c:pt idx="10">
                  <c:v>0</c:v>
                </c:pt>
              </c:numCache>
            </c:numRef>
          </c:xVal>
          <c:yVal>
            <c:numRef>
              <c:f>'Active 4'!$J$21:$J$997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2C0-42FE-9063-AC760E8CDCF7}"/>
            </c:ext>
          </c:extLst>
        </c:ser>
        <c:ser>
          <c:idx val="4"/>
          <c:order val="3"/>
          <c:tx>
            <c:strRef>
              <c:f>'Active 4'!$K$20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4'!$D$21:$D$997</c:f>
                <c:numCache>
                  <c:formatCode>General</c:formatCode>
                  <c:ptCount val="977"/>
                </c:numCache>
              </c:numRef>
            </c:plus>
            <c:minus>
              <c:numRef>
                <c:f>'Active 4'!$D$21:$D$997</c:f>
                <c:numCache>
                  <c:formatCode>General</c:formatCode>
                  <c:ptCount val="977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4'!$F$21:$F$997</c:f>
              <c:numCache>
                <c:formatCode>General</c:formatCode>
                <c:ptCount val="977"/>
                <c:pt idx="0">
                  <c:v>-8524.5</c:v>
                </c:pt>
                <c:pt idx="1">
                  <c:v>-8473.5</c:v>
                </c:pt>
                <c:pt idx="2">
                  <c:v>-8421.5</c:v>
                </c:pt>
                <c:pt idx="3">
                  <c:v>-8420.5</c:v>
                </c:pt>
                <c:pt idx="4">
                  <c:v>-935.5</c:v>
                </c:pt>
                <c:pt idx="5">
                  <c:v>-831.5</c:v>
                </c:pt>
                <c:pt idx="6">
                  <c:v>-779.5</c:v>
                </c:pt>
                <c:pt idx="7">
                  <c:v>-727.5</c:v>
                </c:pt>
                <c:pt idx="8">
                  <c:v>-156</c:v>
                </c:pt>
                <c:pt idx="9">
                  <c:v>-52</c:v>
                </c:pt>
                <c:pt idx="10">
                  <c:v>0</c:v>
                </c:pt>
              </c:numCache>
            </c:numRef>
          </c:xVal>
          <c:yVal>
            <c:numRef>
              <c:f>'Active 4'!$K$21:$K$997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2C0-42FE-9063-AC760E8CDCF7}"/>
            </c:ext>
          </c:extLst>
        </c:ser>
        <c:ser>
          <c:idx val="2"/>
          <c:order val="4"/>
          <c:tx>
            <c:strRef>
              <c:f>'Active 4'!$L$20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4'!$D$21:$D$997</c:f>
                <c:numCache>
                  <c:formatCode>General</c:formatCode>
                  <c:ptCount val="977"/>
                </c:numCache>
              </c:numRef>
            </c:plus>
            <c:minus>
              <c:numRef>
                <c:f>'Active 4'!$D$21:$D$997</c:f>
                <c:numCache>
                  <c:formatCode>General</c:formatCode>
                  <c:ptCount val="977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4'!$F$21:$F$997</c:f>
              <c:numCache>
                <c:formatCode>General</c:formatCode>
                <c:ptCount val="977"/>
                <c:pt idx="0">
                  <c:v>-8524.5</c:v>
                </c:pt>
                <c:pt idx="1">
                  <c:v>-8473.5</c:v>
                </c:pt>
                <c:pt idx="2">
                  <c:v>-8421.5</c:v>
                </c:pt>
                <c:pt idx="3">
                  <c:v>-8420.5</c:v>
                </c:pt>
                <c:pt idx="4">
                  <c:v>-935.5</c:v>
                </c:pt>
                <c:pt idx="5">
                  <c:v>-831.5</c:v>
                </c:pt>
                <c:pt idx="6">
                  <c:v>-779.5</c:v>
                </c:pt>
                <c:pt idx="7">
                  <c:v>-727.5</c:v>
                </c:pt>
                <c:pt idx="8">
                  <c:v>-156</c:v>
                </c:pt>
                <c:pt idx="9">
                  <c:v>-52</c:v>
                </c:pt>
                <c:pt idx="10">
                  <c:v>0</c:v>
                </c:pt>
              </c:numCache>
            </c:numRef>
          </c:xVal>
          <c:yVal>
            <c:numRef>
              <c:f>'Active 4'!$L$21:$L$997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2C0-42FE-9063-AC760E8CDCF7}"/>
            </c:ext>
          </c:extLst>
        </c:ser>
        <c:ser>
          <c:idx val="5"/>
          <c:order val="5"/>
          <c:tx>
            <c:strRef>
              <c:f>'Active 4'!$M$20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4'!$D$21:$D$997</c:f>
                <c:numCache>
                  <c:formatCode>General</c:formatCode>
                  <c:ptCount val="977"/>
                </c:numCache>
              </c:numRef>
            </c:plus>
            <c:minus>
              <c:numRef>
                <c:f>'Active 4'!$D$21:$D$997</c:f>
                <c:numCache>
                  <c:formatCode>General</c:formatCode>
                  <c:ptCount val="977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4'!$F$21:$F$997</c:f>
              <c:numCache>
                <c:formatCode>General</c:formatCode>
                <c:ptCount val="977"/>
                <c:pt idx="0">
                  <c:v>-8524.5</c:v>
                </c:pt>
                <c:pt idx="1">
                  <c:v>-8473.5</c:v>
                </c:pt>
                <c:pt idx="2">
                  <c:v>-8421.5</c:v>
                </c:pt>
                <c:pt idx="3">
                  <c:v>-8420.5</c:v>
                </c:pt>
                <c:pt idx="4">
                  <c:v>-935.5</c:v>
                </c:pt>
                <c:pt idx="5">
                  <c:v>-831.5</c:v>
                </c:pt>
                <c:pt idx="6">
                  <c:v>-779.5</c:v>
                </c:pt>
                <c:pt idx="7">
                  <c:v>-727.5</c:v>
                </c:pt>
                <c:pt idx="8">
                  <c:v>-156</c:v>
                </c:pt>
                <c:pt idx="9">
                  <c:v>-52</c:v>
                </c:pt>
                <c:pt idx="10">
                  <c:v>0</c:v>
                </c:pt>
              </c:numCache>
            </c:numRef>
          </c:xVal>
          <c:yVal>
            <c:numRef>
              <c:f>'Active 4'!$M$21:$M$997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2C0-42FE-9063-AC760E8CDCF7}"/>
            </c:ext>
          </c:extLst>
        </c:ser>
        <c:ser>
          <c:idx val="6"/>
          <c:order val="6"/>
          <c:tx>
            <c:strRef>
              <c:f>'Active 4'!$N$20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4'!$D$21:$D$997</c:f>
                <c:numCache>
                  <c:formatCode>General</c:formatCode>
                  <c:ptCount val="977"/>
                </c:numCache>
              </c:numRef>
            </c:plus>
            <c:minus>
              <c:numRef>
                <c:f>'Active 4'!$D$21:$D$997</c:f>
                <c:numCache>
                  <c:formatCode>General</c:formatCode>
                  <c:ptCount val="977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4'!$F$21:$F$997</c:f>
              <c:numCache>
                <c:formatCode>General</c:formatCode>
                <c:ptCount val="977"/>
                <c:pt idx="0">
                  <c:v>-8524.5</c:v>
                </c:pt>
                <c:pt idx="1">
                  <c:v>-8473.5</c:v>
                </c:pt>
                <c:pt idx="2">
                  <c:v>-8421.5</c:v>
                </c:pt>
                <c:pt idx="3">
                  <c:v>-8420.5</c:v>
                </c:pt>
                <c:pt idx="4">
                  <c:v>-935.5</c:v>
                </c:pt>
                <c:pt idx="5">
                  <c:v>-831.5</c:v>
                </c:pt>
                <c:pt idx="6">
                  <c:v>-779.5</c:v>
                </c:pt>
                <c:pt idx="7">
                  <c:v>-727.5</c:v>
                </c:pt>
                <c:pt idx="8">
                  <c:v>-156</c:v>
                </c:pt>
                <c:pt idx="9">
                  <c:v>-52</c:v>
                </c:pt>
                <c:pt idx="10">
                  <c:v>0</c:v>
                </c:pt>
              </c:numCache>
            </c:numRef>
          </c:xVal>
          <c:yVal>
            <c:numRef>
              <c:f>'Active 4'!$N$21:$N$997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2C0-42FE-9063-AC760E8CDCF7}"/>
            </c:ext>
          </c:extLst>
        </c:ser>
        <c:ser>
          <c:idx val="7"/>
          <c:order val="7"/>
          <c:tx>
            <c:strRef>
              <c:f>'Active 4'!$O$20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4'!$F$21:$F$997</c:f>
              <c:numCache>
                <c:formatCode>General</c:formatCode>
                <c:ptCount val="977"/>
                <c:pt idx="0">
                  <c:v>-8524.5</c:v>
                </c:pt>
                <c:pt idx="1">
                  <c:v>-8473.5</c:v>
                </c:pt>
                <c:pt idx="2">
                  <c:v>-8421.5</c:v>
                </c:pt>
                <c:pt idx="3">
                  <c:v>-8420.5</c:v>
                </c:pt>
                <c:pt idx="4">
                  <c:v>-935.5</c:v>
                </c:pt>
                <c:pt idx="5">
                  <c:v>-831.5</c:v>
                </c:pt>
                <c:pt idx="6">
                  <c:v>-779.5</c:v>
                </c:pt>
                <c:pt idx="7">
                  <c:v>-727.5</c:v>
                </c:pt>
                <c:pt idx="8">
                  <c:v>-156</c:v>
                </c:pt>
                <c:pt idx="9">
                  <c:v>-52</c:v>
                </c:pt>
                <c:pt idx="10">
                  <c:v>0</c:v>
                </c:pt>
              </c:numCache>
            </c:numRef>
          </c:xVal>
          <c:yVal>
            <c:numRef>
              <c:f>'Active 4'!$O$21:$O$997</c:f>
              <c:numCache>
                <c:formatCode>General</c:formatCode>
                <c:ptCount val="977"/>
                <c:pt idx="0">
                  <c:v>3.0555284786927336E-11</c:v>
                </c:pt>
                <c:pt idx="1">
                  <c:v>3.0367755749818808E-11</c:v>
                </c:pt>
                <c:pt idx="2">
                  <c:v>3.0176549672766973E-11</c:v>
                </c:pt>
                <c:pt idx="3">
                  <c:v>3.0172872632823672E-11</c:v>
                </c:pt>
                <c:pt idx="4">
                  <c:v>2.6502286571895228E-12</c:v>
                </c:pt>
                <c:pt idx="5">
                  <c:v>2.267816503085855E-12</c:v>
                </c:pt>
                <c:pt idx="6">
                  <c:v>2.0766104260340212E-12</c:v>
                </c:pt>
                <c:pt idx="7">
                  <c:v>1.8854043489821875E-12</c:v>
                </c:pt>
                <c:pt idx="8">
                  <c:v>-2.1602397861633135E-13</c:v>
                </c:pt>
                <c:pt idx="9">
                  <c:v>-5.9843613271999891E-13</c:v>
                </c:pt>
                <c:pt idx="10">
                  <c:v>-7.8964220977183265E-13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2C0-42FE-9063-AC760E8CDC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8529872"/>
        <c:axId val="1"/>
      </c:scatterChart>
      <c:valAx>
        <c:axId val="6785298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85298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11278195488722"/>
          <c:y val="0.92375366568914952"/>
          <c:w val="0.63458646616541359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V0379 Cep - O-C Diagr.</a:t>
            </a:r>
          </a:p>
        </c:rich>
      </c:tx>
      <c:layout>
        <c:manualLayout>
          <c:xMode val="edge"/>
          <c:yMode val="edge"/>
          <c:x val="0.3729323308270676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76246334310852"/>
          <c:w val="0.8390977443609022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5'!$H$20:$H$20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5'!$D$21:$D$237</c:f>
                <c:numCache>
                  <c:formatCode>General</c:formatCode>
                  <c:ptCount val="217"/>
                </c:numCache>
              </c:numRef>
            </c:plus>
            <c:minus>
              <c:numRef>
                <c:f>'Active 5'!$D$21:$D$237</c:f>
                <c:numCache>
                  <c:formatCode>General</c:formatCode>
                  <c:ptCount val="217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5'!$F$21:$F$997</c:f>
              <c:numCache>
                <c:formatCode>General</c:formatCode>
                <c:ptCount val="977"/>
                <c:pt idx="0">
                  <c:v>-82</c:v>
                </c:pt>
                <c:pt idx="1">
                  <c:v>-81.5</c:v>
                </c:pt>
                <c:pt idx="2">
                  <c:v>-81</c:v>
                </c:pt>
                <c:pt idx="3">
                  <c:v>-81</c:v>
                </c:pt>
                <c:pt idx="4">
                  <c:v>-9</c:v>
                </c:pt>
                <c:pt idx="5">
                  <c:v>-8</c:v>
                </c:pt>
                <c:pt idx="6">
                  <c:v>-7.5</c:v>
                </c:pt>
                <c:pt idx="7">
                  <c:v>-7</c:v>
                </c:pt>
                <c:pt idx="8">
                  <c:v>-1.5</c:v>
                </c:pt>
                <c:pt idx="9">
                  <c:v>-0.5</c:v>
                </c:pt>
                <c:pt idx="10">
                  <c:v>0</c:v>
                </c:pt>
                <c:pt idx="11">
                  <c:v>0</c:v>
                </c:pt>
              </c:numCache>
            </c:numRef>
          </c:xVal>
          <c:yVal>
            <c:numRef>
              <c:f>'Active 5'!$H$21:$H$997</c:f>
              <c:numCache>
                <c:formatCode>General</c:formatCode>
                <c:ptCount val="977"/>
                <c:pt idx="0">
                  <c:v>0.90526661588228308</c:v>
                </c:pt>
                <c:pt idx="1">
                  <c:v>-2.1633384116285015E-2</c:v>
                </c:pt>
                <c:pt idx="2">
                  <c:v>-9.9533384112874046E-2</c:v>
                </c:pt>
                <c:pt idx="3">
                  <c:v>0.86146661588281859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1FA-4514-91BA-E6FE43F4182A}"/>
            </c:ext>
          </c:extLst>
        </c:ser>
        <c:ser>
          <c:idx val="1"/>
          <c:order val="1"/>
          <c:tx>
            <c:strRef>
              <c:f>'Active 5'!$I$20:$I$20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5'!$D$21:$D$997</c:f>
                <c:numCache>
                  <c:formatCode>General</c:formatCode>
                  <c:ptCount val="977"/>
                </c:numCache>
              </c:numRef>
            </c:plus>
            <c:minus>
              <c:numRef>
                <c:f>'Active 5'!$D$21:$D$997</c:f>
                <c:numCache>
                  <c:formatCode>General</c:formatCode>
                  <c:ptCount val="977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5'!$F$21:$F$997</c:f>
              <c:numCache>
                <c:formatCode>General</c:formatCode>
                <c:ptCount val="977"/>
                <c:pt idx="0">
                  <c:v>-82</c:v>
                </c:pt>
                <c:pt idx="1">
                  <c:v>-81.5</c:v>
                </c:pt>
                <c:pt idx="2">
                  <c:v>-81</c:v>
                </c:pt>
                <c:pt idx="3">
                  <c:v>-81</c:v>
                </c:pt>
                <c:pt idx="4">
                  <c:v>-9</c:v>
                </c:pt>
                <c:pt idx="5">
                  <c:v>-8</c:v>
                </c:pt>
                <c:pt idx="6">
                  <c:v>-7.5</c:v>
                </c:pt>
                <c:pt idx="7">
                  <c:v>-7</c:v>
                </c:pt>
                <c:pt idx="8">
                  <c:v>-1.5</c:v>
                </c:pt>
                <c:pt idx="9">
                  <c:v>-0.5</c:v>
                </c:pt>
                <c:pt idx="10">
                  <c:v>0</c:v>
                </c:pt>
                <c:pt idx="11">
                  <c:v>0</c:v>
                </c:pt>
              </c:numCache>
            </c:numRef>
          </c:xVal>
          <c:yVal>
            <c:numRef>
              <c:f>'Active 5'!$I$21:$I$997</c:f>
              <c:numCache>
                <c:formatCode>General</c:formatCode>
                <c:ptCount val="977"/>
                <c:pt idx="4">
                  <c:v>0.20576661587983835</c:v>
                </c:pt>
                <c:pt idx="5">
                  <c:v>0.25446661587920971</c:v>
                </c:pt>
                <c:pt idx="6">
                  <c:v>0.28796661588421557</c:v>
                </c:pt>
                <c:pt idx="7">
                  <c:v>0.28776661588199204</c:v>
                </c:pt>
                <c:pt idx="8">
                  <c:v>-4.8033384111477062E-2</c:v>
                </c:pt>
                <c:pt idx="9">
                  <c:v>-2.573338411457371E-2</c:v>
                </c:pt>
                <c:pt idx="10">
                  <c:v>0</c:v>
                </c:pt>
                <c:pt idx="11">
                  <c:v>1.1066615887102671E-2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1FA-4514-91BA-E6FE43F4182A}"/>
            </c:ext>
          </c:extLst>
        </c:ser>
        <c:ser>
          <c:idx val="3"/>
          <c:order val="2"/>
          <c:tx>
            <c:strRef>
              <c:f>'Active 5'!$J$20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5'!$D$21:$D$997</c:f>
                <c:numCache>
                  <c:formatCode>General</c:formatCode>
                  <c:ptCount val="977"/>
                </c:numCache>
              </c:numRef>
            </c:plus>
            <c:minus>
              <c:numRef>
                <c:f>'Active 5'!$D$21:$D$997</c:f>
                <c:numCache>
                  <c:formatCode>General</c:formatCode>
                  <c:ptCount val="977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5'!$F$21:$F$997</c:f>
              <c:numCache>
                <c:formatCode>General</c:formatCode>
                <c:ptCount val="977"/>
                <c:pt idx="0">
                  <c:v>-82</c:v>
                </c:pt>
                <c:pt idx="1">
                  <c:v>-81.5</c:v>
                </c:pt>
                <c:pt idx="2">
                  <c:v>-81</c:v>
                </c:pt>
                <c:pt idx="3">
                  <c:v>-81</c:v>
                </c:pt>
                <c:pt idx="4">
                  <c:v>-9</c:v>
                </c:pt>
                <c:pt idx="5">
                  <c:v>-8</c:v>
                </c:pt>
                <c:pt idx="6">
                  <c:v>-7.5</c:v>
                </c:pt>
                <c:pt idx="7">
                  <c:v>-7</c:v>
                </c:pt>
                <c:pt idx="8">
                  <c:v>-1.5</c:v>
                </c:pt>
                <c:pt idx="9">
                  <c:v>-0.5</c:v>
                </c:pt>
                <c:pt idx="10">
                  <c:v>0</c:v>
                </c:pt>
                <c:pt idx="11">
                  <c:v>0</c:v>
                </c:pt>
              </c:numCache>
            </c:numRef>
          </c:xVal>
          <c:yVal>
            <c:numRef>
              <c:f>'Active 5'!$J$21:$J$997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1FA-4514-91BA-E6FE43F4182A}"/>
            </c:ext>
          </c:extLst>
        </c:ser>
        <c:ser>
          <c:idx val="4"/>
          <c:order val="3"/>
          <c:tx>
            <c:strRef>
              <c:f>'Active 5'!$K$20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5'!$D$21:$D$997</c:f>
                <c:numCache>
                  <c:formatCode>General</c:formatCode>
                  <c:ptCount val="977"/>
                </c:numCache>
              </c:numRef>
            </c:plus>
            <c:minus>
              <c:numRef>
                <c:f>'Active 5'!$D$21:$D$997</c:f>
                <c:numCache>
                  <c:formatCode>General</c:formatCode>
                  <c:ptCount val="977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5'!$F$21:$F$997</c:f>
              <c:numCache>
                <c:formatCode>General</c:formatCode>
                <c:ptCount val="977"/>
                <c:pt idx="0">
                  <c:v>-82</c:v>
                </c:pt>
                <c:pt idx="1">
                  <c:v>-81.5</c:v>
                </c:pt>
                <c:pt idx="2">
                  <c:v>-81</c:v>
                </c:pt>
                <c:pt idx="3">
                  <c:v>-81</c:v>
                </c:pt>
                <c:pt idx="4">
                  <c:v>-9</c:v>
                </c:pt>
                <c:pt idx="5">
                  <c:v>-8</c:v>
                </c:pt>
                <c:pt idx="6">
                  <c:v>-7.5</c:v>
                </c:pt>
                <c:pt idx="7">
                  <c:v>-7</c:v>
                </c:pt>
                <c:pt idx="8">
                  <c:v>-1.5</c:v>
                </c:pt>
                <c:pt idx="9">
                  <c:v>-0.5</c:v>
                </c:pt>
                <c:pt idx="10">
                  <c:v>0</c:v>
                </c:pt>
                <c:pt idx="11">
                  <c:v>0</c:v>
                </c:pt>
              </c:numCache>
            </c:numRef>
          </c:xVal>
          <c:yVal>
            <c:numRef>
              <c:f>'Active 5'!$K$21:$K$997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1FA-4514-91BA-E6FE43F4182A}"/>
            </c:ext>
          </c:extLst>
        </c:ser>
        <c:ser>
          <c:idx val="2"/>
          <c:order val="4"/>
          <c:tx>
            <c:strRef>
              <c:f>'Active 5'!$L$20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5'!$D$21:$D$997</c:f>
                <c:numCache>
                  <c:formatCode>General</c:formatCode>
                  <c:ptCount val="977"/>
                </c:numCache>
              </c:numRef>
            </c:plus>
            <c:minus>
              <c:numRef>
                <c:f>'Active 5'!$D$21:$D$997</c:f>
                <c:numCache>
                  <c:formatCode>General</c:formatCode>
                  <c:ptCount val="977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5'!$F$21:$F$997</c:f>
              <c:numCache>
                <c:formatCode>General</c:formatCode>
                <c:ptCount val="977"/>
                <c:pt idx="0">
                  <c:v>-82</c:v>
                </c:pt>
                <c:pt idx="1">
                  <c:v>-81.5</c:v>
                </c:pt>
                <c:pt idx="2">
                  <c:v>-81</c:v>
                </c:pt>
                <c:pt idx="3">
                  <c:v>-81</c:v>
                </c:pt>
                <c:pt idx="4">
                  <c:v>-9</c:v>
                </c:pt>
                <c:pt idx="5">
                  <c:v>-8</c:v>
                </c:pt>
                <c:pt idx="6">
                  <c:v>-7.5</c:v>
                </c:pt>
                <c:pt idx="7">
                  <c:v>-7</c:v>
                </c:pt>
                <c:pt idx="8">
                  <c:v>-1.5</c:v>
                </c:pt>
                <c:pt idx="9">
                  <c:v>-0.5</c:v>
                </c:pt>
                <c:pt idx="10">
                  <c:v>0</c:v>
                </c:pt>
                <c:pt idx="11">
                  <c:v>0</c:v>
                </c:pt>
              </c:numCache>
            </c:numRef>
          </c:xVal>
          <c:yVal>
            <c:numRef>
              <c:f>'Active 5'!$L$21:$L$997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1FA-4514-91BA-E6FE43F4182A}"/>
            </c:ext>
          </c:extLst>
        </c:ser>
        <c:ser>
          <c:idx val="5"/>
          <c:order val="5"/>
          <c:tx>
            <c:strRef>
              <c:f>'Active 5'!$M$20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5'!$D$21:$D$997</c:f>
                <c:numCache>
                  <c:formatCode>General</c:formatCode>
                  <c:ptCount val="977"/>
                </c:numCache>
              </c:numRef>
            </c:plus>
            <c:minus>
              <c:numRef>
                <c:f>'Active 5'!$D$21:$D$997</c:f>
                <c:numCache>
                  <c:formatCode>General</c:formatCode>
                  <c:ptCount val="977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5'!$F$21:$F$997</c:f>
              <c:numCache>
                <c:formatCode>General</c:formatCode>
                <c:ptCount val="977"/>
                <c:pt idx="0">
                  <c:v>-82</c:v>
                </c:pt>
                <c:pt idx="1">
                  <c:v>-81.5</c:v>
                </c:pt>
                <c:pt idx="2">
                  <c:v>-81</c:v>
                </c:pt>
                <c:pt idx="3">
                  <c:v>-81</c:v>
                </c:pt>
                <c:pt idx="4">
                  <c:v>-9</c:v>
                </c:pt>
                <c:pt idx="5">
                  <c:v>-8</c:v>
                </c:pt>
                <c:pt idx="6">
                  <c:v>-7.5</c:v>
                </c:pt>
                <c:pt idx="7">
                  <c:v>-7</c:v>
                </c:pt>
                <c:pt idx="8">
                  <c:v>-1.5</c:v>
                </c:pt>
                <c:pt idx="9">
                  <c:v>-0.5</c:v>
                </c:pt>
                <c:pt idx="10">
                  <c:v>0</c:v>
                </c:pt>
                <c:pt idx="11">
                  <c:v>0</c:v>
                </c:pt>
              </c:numCache>
            </c:numRef>
          </c:xVal>
          <c:yVal>
            <c:numRef>
              <c:f>'Active 5'!$M$21:$M$997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1FA-4514-91BA-E6FE43F4182A}"/>
            </c:ext>
          </c:extLst>
        </c:ser>
        <c:ser>
          <c:idx val="6"/>
          <c:order val="6"/>
          <c:tx>
            <c:strRef>
              <c:f>'Active 5'!$N$20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5'!$D$21:$D$997</c:f>
                <c:numCache>
                  <c:formatCode>General</c:formatCode>
                  <c:ptCount val="977"/>
                </c:numCache>
              </c:numRef>
            </c:plus>
            <c:minus>
              <c:numRef>
                <c:f>'Active 5'!$D$21:$D$997</c:f>
                <c:numCache>
                  <c:formatCode>General</c:formatCode>
                  <c:ptCount val="977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5'!$F$21:$F$997</c:f>
              <c:numCache>
                <c:formatCode>General</c:formatCode>
                <c:ptCount val="977"/>
                <c:pt idx="0">
                  <c:v>-82</c:v>
                </c:pt>
                <c:pt idx="1">
                  <c:v>-81.5</c:v>
                </c:pt>
                <c:pt idx="2">
                  <c:v>-81</c:v>
                </c:pt>
                <c:pt idx="3">
                  <c:v>-81</c:v>
                </c:pt>
                <c:pt idx="4">
                  <c:v>-9</c:v>
                </c:pt>
                <c:pt idx="5">
                  <c:v>-8</c:v>
                </c:pt>
                <c:pt idx="6">
                  <c:v>-7.5</c:v>
                </c:pt>
                <c:pt idx="7">
                  <c:v>-7</c:v>
                </c:pt>
                <c:pt idx="8">
                  <c:v>-1.5</c:v>
                </c:pt>
                <c:pt idx="9">
                  <c:v>-0.5</c:v>
                </c:pt>
                <c:pt idx="10">
                  <c:v>0</c:v>
                </c:pt>
                <c:pt idx="11">
                  <c:v>0</c:v>
                </c:pt>
              </c:numCache>
            </c:numRef>
          </c:xVal>
          <c:yVal>
            <c:numRef>
              <c:f>'Active 5'!$N$21:$N$997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1FA-4514-91BA-E6FE43F4182A}"/>
            </c:ext>
          </c:extLst>
        </c:ser>
        <c:ser>
          <c:idx val="7"/>
          <c:order val="7"/>
          <c:tx>
            <c:strRef>
              <c:f>'Active 5'!$O$20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5'!$F$21:$F$997</c:f>
              <c:numCache>
                <c:formatCode>General</c:formatCode>
                <c:ptCount val="977"/>
                <c:pt idx="0">
                  <c:v>-82</c:v>
                </c:pt>
                <c:pt idx="1">
                  <c:v>-81.5</c:v>
                </c:pt>
                <c:pt idx="2">
                  <c:v>-81</c:v>
                </c:pt>
                <c:pt idx="3">
                  <c:v>-81</c:v>
                </c:pt>
                <c:pt idx="4">
                  <c:v>-9</c:v>
                </c:pt>
                <c:pt idx="5">
                  <c:v>-8</c:v>
                </c:pt>
                <c:pt idx="6">
                  <c:v>-7.5</c:v>
                </c:pt>
                <c:pt idx="7">
                  <c:v>-7</c:v>
                </c:pt>
                <c:pt idx="8">
                  <c:v>-1.5</c:v>
                </c:pt>
                <c:pt idx="9">
                  <c:v>-0.5</c:v>
                </c:pt>
                <c:pt idx="10">
                  <c:v>0</c:v>
                </c:pt>
                <c:pt idx="11">
                  <c:v>0</c:v>
                </c:pt>
              </c:numCache>
            </c:numRef>
          </c:xVal>
          <c:yVal>
            <c:numRef>
              <c:f>'Active 5'!$O$21:$O$997</c:f>
              <c:numCache>
                <c:formatCode>General</c:formatCode>
                <c:ptCount val="977"/>
                <c:pt idx="0">
                  <c:v>2.8207926582542591</c:v>
                </c:pt>
                <c:pt idx="1">
                  <c:v>2.8034488229491608</c:v>
                </c:pt>
                <c:pt idx="2">
                  <c:v>2.786104987644062</c:v>
                </c:pt>
                <c:pt idx="3">
                  <c:v>2.786104987644062</c:v>
                </c:pt>
                <c:pt idx="4">
                  <c:v>0.28859270370986256</c:v>
                </c:pt>
                <c:pt idx="5">
                  <c:v>0.25390503309966533</c:v>
                </c:pt>
                <c:pt idx="6">
                  <c:v>0.23656119779456675</c:v>
                </c:pt>
                <c:pt idx="7">
                  <c:v>0.2192173624894681</c:v>
                </c:pt>
                <c:pt idx="8">
                  <c:v>2.843517413338343E-2</c:v>
                </c:pt>
                <c:pt idx="9">
                  <c:v>-6.2524964768137861E-3</c:v>
                </c:pt>
                <c:pt idx="10">
                  <c:v>-2.3596331781912394E-2</c:v>
                </c:pt>
                <c:pt idx="11">
                  <c:v>-2.3596331781912394E-2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1FA-4514-91BA-E6FE43F418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8533112"/>
        <c:axId val="1"/>
      </c:scatterChart>
      <c:valAx>
        <c:axId val="6785331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85331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11278195488722"/>
          <c:y val="0.92375366568914952"/>
          <c:w val="0.63458646616541359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V0379 Cep - O-C Diagr.</a:t>
            </a:r>
          </a:p>
        </c:rich>
      </c:tx>
      <c:layout>
        <c:manualLayout>
          <c:xMode val="edge"/>
          <c:yMode val="edge"/>
          <c:x val="0.366929133858267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13385826771653"/>
          <c:y val="0.14035127795846455"/>
          <c:w val="0.8362204724409448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6'!$H$20:$H$20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6'!$D$21:$D$237</c:f>
                <c:numCache>
                  <c:formatCode>General</c:formatCode>
                  <c:ptCount val="217"/>
                </c:numCache>
              </c:numRef>
            </c:plus>
            <c:minus>
              <c:numRef>
                <c:f>'Active 6'!$D$21:$D$237</c:f>
                <c:numCache>
                  <c:formatCode>General</c:formatCode>
                  <c:ptCount val="217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6'!$F$21:$F$997</c:f>
              <c:numCache>
                <c:formatCode>General</c:formatCode>
                <c:ptCount val="977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</c:v>
                </c:pt>
                <c:pt idx="4">
                  <c:v>73</c:v>
                </c:pt>
                <c:pt idx="5">
                  <c:v>74</c:v>
                </c:pt>
                <c:pt idx="6">
                  <c:v>74.5</c:v>
                </c:pt>
                <c:pt idx="7">
                  <c:v>75</c:v>
                </c:pt>
                <c:pt idx="8">
                  <c:v>80.5</c:v>
                </c:pt>
                <c:pt idx="9">
                  <c:v>81.5</c:v>
                </c:pt>
                <c:pt idx="10">
                  <c:v>82</c:v>
                </c:pt>
              </c:numCache>
            </c:numRef>
          </c:xVal>
          <c:yVal>
            <c:numRef>
              <c:f>'Active 6'!$H$21:$H$997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A27-455D-90DD-4712BA629C7A}"/>
            </c:ext>
          </c:extLst>
        </c:ser>
        <c:ser>
          <c:idx val="1"/>
          <c:order val="1"/>
          <c:tx>
            <c:strRef>
              <c:f>'Active 6'!$I$20:$I$20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6'!$D$21:$D$997</c:f>
                <c:numCache>
                  <c:formatCode>General</c:formatCode>
                  <c:ptCount val="977"/>
                </c:numCache>
              </c:numRef>
            </c:plus>
            <c:minus>
              <c:numRef>
                <c:f>'Active 6'!$D$21:$D$997</c:f>
                <c:numCache>
                  <c:formatCode>General</c:formatCode>
                  <c:ptCount val="977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6'!$F$21:$F$997</c:f>
              <c:numCache>
                <c:formatCode>General</c:formatCode>
                <c:ptCount val="977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</c:v>
                </c:pt>
                <c:pt idx="4">
                  <c:v>73</c:v>
                </c:pt>
                <c:pt idx="5">
                  <c:v>74</c:v>
                </c:pt>
                <c:pt idx="6">
                  <c:v>74.5</c:v>
                </c:pt>
                <c:pt idx="7">
                  <c:v>75</c:v>
                </c:pt>
                <c:pt idx="8">
                  <c:v>80.5</c:v>
                </c:pt>
                <c:pt idx="9">
                  <c:v>81.5</c:v>
                </c:pt>
                <c:pt idx="10">
                  <c:v>82</c:v>
                </c:pt>
              </c:numCache>
            </c:numRef>
          </c:xVal>
          <c:yVal>
            <c:numRef>
              <c:f>'Active 6'!$I$21:$I$997</c:f>
              <c:numCache>
                <c:formatCode>General</c:formatCode>
                <c:ptCount val="977"/>
                <c:pt idx="0">
                  <c:v>0</c:v>
                </c:pt>
                <c:pt idx="1">
                  <c:v>-0.92689999999856809</c:v>
                </c:pt>
                <c:pt idx="2">
                  <c:v>-1.0047999999951571</c:v>
                </c:pt>
                <c:pt idx="3">
                  <c:v>-4.379999999946449E-2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A27-455D-90DD-4712BA629C7A}"/>
            </c:ext>
          </c:extLst>
        </c:ser>
        <c:ser>
          <c:idx val="3"/>
          <c:order val="2"/>
          <c:tx>
            <c:strRef>
              <c:f>'Active 6'!$J$20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6'!$D$21:$D$997</c:f>
                <c:numCache>
                  <c:formatCode>General</c:formatCode>
                  <c:ptCount val="977"/>
                </c:numCache>
              </c:numRef>
            </c:plus>
            <c:minus>
              <c:numRef>
                <c:f>'Active 6'!$D$21:$D$997</c:f>
                <c:numCache>
                  <c:formatCode>General</c:formatCode>
                  <c:ptCount val="977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6'!$F$21:$F$997</c:f>
              <c:numCache>
                <c:formatCode>General</c:formatCode>
                <c:ptCount val="977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</c:v>
                </c:pt>
                <c:pt idx="4">
                  <c:v>73</c:v>
                </c:pt>
                <c:pt idx="5">
                  <c:v>74</c:v>
                </c:pt>
                <c:pt idx="6">
                  <c:v>74.5</c:v>
                </c:pt>
                <c:pt idx="7">
                  <c:v>75</c:v>
                </c:pt>
                <c:pt idx="8">
                  <c:v>80.5</c:v>
                </c:pt>
                <c:pt idx="9">
                  <c:v>81.5</c:v>
                </c:pt>
                <c:pt idx="10">
                  <c:v>82</c:v>
                </c:pt>
              </c:numCache>
            </c:numRef>
          </c:xVal>
          <c:yVal>
            <c:numRef>
              <c:f>'Active 6'!$J$21:$J$997</c:f>
              <c:numCache>
                <c:formatCode>General</c:formatCode>
                <c:ptCount val="977"/>
                <c:pt idx="4">
                  <c:v>-0.69950000000244472</c:v>
                </c:pt>
                <c:pt idx="5">
                  <c:v>-0.65080000000307336</c:v>
                </c:pt>
                <c:pt idx="6">
                  <c:v>-0.61729999999806751</c:v>
                </c:pt>
                <c:pt idx="7">
                  <c:v>-0.61749999999301508</c:v>
                </c:pt>
                <c:pt idx="8">
                  <c:v>-0.95329999999376014</c:v>
                </c:pt>
                <c:pt idx="9">
                  <c:v>-0.93099999999685679</c:v>
                </c:pt>
                <c:pt idx="10">
                  <c:v>-0.89419999999518041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A27-455D-90DD-4712BA629C7A}"/>
            </c:ext>
          </c:extLst>
        </c:ser>
        <c:ser>
          <c:idx val="4"/>
          <c:order val="3"/>
          <c:tx>
            <c:strRef>
              <c:f>'Active 6'!$K$20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6'!$D$21:$D$997</c:f>
                <c:numCache>
                  <c:formatCode>General</c:formatCode>
                  <c:ptCount val="977"/>
                </c:numCache>
              </c:numRef>
            </c:plus>
            <c:minus>
              <c:numRef>
                <c:f>'Active 6'!$D$21:$D$997</c:f>
                <c:numCache>
                  <c:formatCode>General</c:formatCode>
                  <c:ptCount val="977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6'!$F$21:$F$997</c:f>
              <c:numCache>
                <c:formatCode>General</c:formatCode>
                <c:ptCount val="977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</c:v>
                </c:pt>
                <c:pt idx="4">
                  <c:v>73</c:v>
                </c:pt>
                <c:pt idx="5">
                  <c:v>74</c:v>
                </c:pt>
                <c:pt idx="6">
                  <c:v>74.5</c:v>
                </c:pt>
                <c:pt idx="7">
                  <c:v>75</c:v>
                </c:pt>
                <c:pt idx="8">
                  <c:v>80.5</c:v>
                </c:pt>
                <c:pt idx="9">
                  <c:v>81.5</c:v>
                </c:pt>
                <c:pt idx="10">
                  <c:v>82</c:v>
                </c:pt>
              </c:numCache>
            </c:numRef>
          </c:xVal>
          <c:yVal>
            <c:numRef>
              <c:f>'Active 6'!$K$21:$K$997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A27-455D-90DD-4712BA629C7A}"/>
            </c:ext>
          </c:extLst>
        </c:ser>
        <c:ser>
          <c:idx val="2"/>
          <c:order val="4"/>
          <c:tx>
            <c:strRef>
              <c:f>'Active 6'!$L$20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6'!$D$21:$D$997</c:f>
                <c:numCache>
                  <c:formatCode>General</c:formatCode>
                  <c:ptCount val="977"/>
                </c:numCache>
              </c:numRef>
            </c:plus>
            <c:minus>
              <c:numRef>
                <c:f>'Active 6'!$D$21:$D$997</c:f>
                <c:numCache>
                  <c:formatCode>General</c:formatCode>
                  <c:ptCount val="977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6'!$F$21:$F$997</c:f>
              <c:numCache>
                <c:formatCode>General</c:formatCode>
                <c:ptCount val="977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</c:v>
                </c:pt>
                <c:pt idx="4">
                  <c:v>73</c:v>
                </c:pt>
                <c:pt idx="5">
                  <c:v>74</c:v>
                </c:pt>
                <c:pt idx="6">
                  <c:v>74.5</c:v>
                </c:pt>
                <c:pt idx="7">
                  <c:v>75</c:v>
                </c:pt>
                <c:pt idx="8">
                  <c:v>80.5</c:v>
                </c:pt>
                <c:pt idx="9">
                  <c:v>81.5</c:v>
                </c:pt>
                <c:pt idx="10">
                  <c:v>82</c:v>
                </c:pt>
              </c:numCache>
            </c:numRef>
          </c:xVal>
          <c:yVal>
            <c:numRef>
              <c:f>'Active 6'!$L$21:$L$997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A27-455D-90DD-4712BA629C7A}"/>
            </c:ext>
          </c:extLst>
        </c:ser>
        <c:ser>
          <c:idx val="5"/>
          <c:order val="5"/>
          <c:tx>
            <c:strRef>
              <c:f>'Active 6'!$M$20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6'!$D$21:$D$997</c:f>
                <c:numCache>
                  <c:formatCode>General</c:formatCode>
                  <c:ptCount val="977"/>
                </c:numCache>
              </c:numRef>
            </c:plus>
            <c:minus>
              <c:numRef>
                <c:f>'Active 6'!$D$21:$D$997</c:f>
                <c:numCache>
                  <c:formatCode>General</c:formatCode>
                  <c:ptCount val="977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6'!$F$21:$F$997</c:f>
              <c:numCache>
                <c:formatCode>General</c:formatCode>
                <c:ptCount val="977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</c:v>
                </c:pt>
                <c:pt idx="4">
                  <c:v>73</c:v>
                </c:pt>
                <c:pt idx="5">
                  <c:v>74</c:v>
                </c:pt>
                <c:pt idx="6">
                  <c:v>74.5</c:v>
                </c:pt>
                <c:pt idx="7">
                  <c:v>75</c:v>
                </c:pt>
                <c:pt idx="8">
                  <c:v>80.5</c:v>
                </c:pt>
                <c:pt idx="9">
                  <c:v>81.5</c:v>
                </c:pt>
                <c:pt idx="10">
                  <c:v>82</c:v>
                </c:pt>
              </c:numCache>
            </c:numRef>
          </c:xVal>
          <c:yVal>
            <c:numRef>
              <c:f>'Active 6'!$M$21:$M$997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A27-455D-90DD-4712BA629C7A}"/>
            </c:ext>
          </c:extLst>
        </c:ser>
        <c:ser>
          <c:idx val="6"/>
          <c:order val="6"/>
          <c:tx>
            <c:strRef>
              <c:f>'Active 6'!$N$20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6'!$D$21:$D$997</c:f>
                <c:numCache>
                  <c:formatCode>General</c:formatCode>
                  <c:ptCount val="977"/>
                </c:numCache>
              </c:numRef>
            </c:plus>
            <c:minus>
              <c:numRef>
                <c:f>'Active 6'!$D$21:$D$997</c:f>
                <c:numCache>
                  <c:formatCode>General</c:formatCode>
                  <c:ptCount val="977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6'!$F$21:$F$997</c:f>
              <c:numCache>
                <c:formatCode>General</c:formatCode>
                <c:ptCount val="977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</c:v>
                </c:pt>
                <c:pt idx="4">
                  <c:v>73</c:v>
                </c:pt>
                <c:pt idx="5">
                  <c:v>74</c:v>
                </c:pt>
                <c:pt idx="6">
                  <c:v>74.5</c:v>
                </c:pt>
                <c:pt idx="7">
                  <c:v>75</c:v>
                </c:pt>
                <c:pt idx="8">
                  <c:v>80.5</c:v>
                </c:pt>
                <c:pt idx="9">
                  <c:v>81.5</c:v>
                </c:pt>
                <c:pt idx="10">
                  <c:v>82</c:v>
                </c:pt>
              </c:numCache>
            </c:numRef>
          </c:xVal>
          <c:yVal>
            <c:numRef>
              <c:f>'Active 6'!$N$21:$N$997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A27-455D-90DD-4712BA629C7A}"/>
            </c:ext>
          </c:extLst>
        </c:ser>
        <c:ser>
          <c:idx val="7"/>
          <c:order val="7"/>
          <c:tx>
            <c:strRef>
              <c:f>'Active 6'!$O$20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6'!$F$21:$F$997</c:f>
              <c:numCache>
                <c:formatCode>General</c:formatCode>
                <c:ptCount val="977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</c:v>
                </c:pt>
                <c:pt idx="4">
                  <c:v>73</c:v>
                </c:pt>
                <c:pt idx="5">
                  <c:v>74</c:v>
                </c:pt>
                <c:pt idx="6">
                  <c:v>74.5</c:v>
                </c:pt>
                <c:pt idx="7">
                  <c:v>75</c:v>
                </c:pt>
                <c:pt idx="8">
                  <c:v>80.5</c:v>
                </c:pt>
                <c:pt idx="9">
                  <c:v>81.5</c:v>
                </c:pt>
                <c:pt idx="10">
                  <c:v>82</c:v>
                </c:pt>
              </c:numCache>
            </c:numRef>
          </c:xVal>
          <c:yVal>
            <c:numRef>
              <c:f>'Active 6'!$O$21:$O$997</c:f>
              <c:numCache>
                <c:formatCode>General</c:formatCode>
                <c:ptCount val="977"/>
                <c:pt idx="0">
                  <c:v>-3.9320142856075631</c:v>
                </c:pt>
                <c:pt idx="1">
                  <c:v>-3.9135357141796185</c:v>
                </c:pt>
                <c:pt idx="2">
                  <c:v>-3.895057142751674</c:v>
                </c:pt>
                <c:pt idx="3">
                  <c:v>-3.895057142751674</c:v>
                </c:pt>
                <c:pt idx="4">
                  <c:v>-1.2341428571276736</c:v>
                </c:pt>
                <c:pt idx="5">
                  <c:v>-1.1971857142717846</c:v>
                </c:pt>
                <c:pt idx="6">
                  <c:v>-1.17870714284384</c:v>
                </c:pt>
                <c:pt idx="7">
                  <c:v>-1.1602285714158955</c:v>
                </c:pt>
                <c:pt idx="8">
                  <c:v>-0.95696428570850678</c:v>
                </c:pt>
                <c:pt idx="9">
                  <c:v>-0.92000714285261775</c:v>
                </c:pt>
                <c:pt idx="10">
                  <c:v>-0.90152857142467324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A27-455D-90DD-4712BA629C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2653560"/>
        <c:axId val="1"/>
      </c:scatterChart>
      <c:valAx>
        <c:axId val="6926535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9842519685039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393700787401574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26535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251968503937008"/>
          <c:y val="0.92397937099967764"/>
          <c:w val="0.6582677165354330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18</xdr:col>
      <xdr:colOff>257175</xdr:colOff>
      <xdr:row>18</xdr:row>
      <xdr:rowOff>114300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9AA2E6F2-6045-8BDA-D540-9535FCA8D2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50180" name="Chart 1">
          <a:extLst>
            <a:ext uri="{FF2B5EF4-FFF2-40B4-BE49-F238E27FC236}">
              <a16:creationId xmlns:a16="http://schemas.microsoft.com/office/drawing/2014/main" id="{2F23A69A-0D0A-85C1-EE78-77BC22FDCE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52228" name="Chart 1">
          <a:extLst>
            <a:ext uri="{FF2B5EF4-FFF2-40B4-BE49-F238E27FC236}">
              <a16:creationId xmlns:a16="http://schemas.microsoft.com/office/drawing/2014/main" id="{D35F8902-6CE7-4CF2-DC7E-2DBE801A9C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54276" name="Chart 1">
          <a:extLst>
            <a:ext uri="{FF2B5EF4-FFF2-40B4-BE49-F238E27FC236}">
              <a16:creationId xmlns:a16="http://schemas.microsoft.com/office/drawing/2014/main" id="{2FFF6F41-E634-849B-D4CF-851EDC2873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56324" name="Chart 1">
          <a:extLst>
            <a:ext uri="{FF2B5EF4-FFF2-40B4-BE49-F238E27FC236}">
              <a16:creationId xmlns:a16="http://schemas.microsoft.com/office/drawing/2014/main" id="{5910D834-08E9-BD85-377A-1B004D183D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9525</xdr:rowOff>
    </xdr:from>
    <xdr:to>
      <xdr:col>16</xdr:col>
      <xdr:colOff>504825</xdr:colOff>
      <xdr:row>19</xdr:row>
      <xdr:rowOff>9525</xdr:rowOff>
    </xdr:to>
    <xdr:graphicFrame macro="">
      <xdr:nvGraphicFramePr>
        <xdr:cNvPr id="58372" name="Chart 1">
          <a:extLst>
            <a:ext uri="{FF2B5EF4-FFF2-40B4-BE49-F238E27FC236}">
              <a16:creationId xmlns:a16="http://schemas.microsoft.com/office/drawing/2014/main" id="{685D3E41-B7D6-6C99-D476-49DB527557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38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3" sqref="F13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7.42578125" customWidth="1"/>
  </cols>
  <sheetData>
    <row r="1" spans="1:6" ht="20.25" x14ac:dyDescent="0.3">
      <c r="A1" s="1" t="s">
        <v>42</v>
      </c>
      <c r="F1" s="45" t="s">
        <v>91</v>
      </c>
    </row>
    <row r="2" spans="1:6" ht="12.95" customHeight="1" x14ac:dyDescent="0.2">
      <c r="A2" t="s">
        <v>24</v>
      </c>
      <c r="C2" s="3"/>
      <c r="D2" s="3"/>
    </row>
    <row r="3" spans="1:6" ht="12.95" customHeight="1" thickBot="1" x14ac:dyDescent="0.25"/>
    <row r="4" spans="1:6" ht="12.95" customHeight="1" thickTop="1" thickBot="1" x14ac:dyDescent="0.25">
      <c r="A4" s="5" t="s">
        <v>0</v>
      </c>
      <c r="C4" s="8" t="s">
        <v>40</v>
      </c>
      <c r="D4" s="9" t="s">
        <v>40</v>
      </c>
    </row>
    <row r="5" spans="1:6" ht="12.95" customHeight="1" thickTop="1" x14ac:dyDescent="0.2">
      <c r="A5" s="11" t="s">
        <v>30</v>
      </c>
      <c r="B5" s="12"/>
      <c r="C5" s="13">
        <v>-9.5</v>
      </c>
      <c r="D5" s="12" t="s">
        <v>31</v>
      </c>
    </row>
    <row r="6" spans="1:6" ht="12.95" customHeight="1" x14ac:dyDescent="0.2">
      <c r="A6" s="5" t="s">
        <v>1</v>
      </c>
    </row>
    <row r="7" spans="1:6" ht="12.95" customHeight="1" x14ac:dyDescent="0.2">
      <c r="A7" t="s">
        <v>2</v>
      </c>
      <c r="C7" s="29">
        <v>41856.894999999997</v>
      </c>
    </row>
    <row r="8" spans="1:6" ht="12.95" customHeight="1" x14ac:dyDescent="0.2">
      <c r="A8" t="s">
        <v>3</v>
      </c>
      <c r="C8">
        <v>1.920372</v>
      </c>
    </row>
    <row r="9" spans="1:6" ht="12.95" customHeight="1" x14ac:dyDescent="0.2">
      <c r="A9" s="27" t="s">
        <v>36</v>
      </c>
      <c r="B9" s="28">
        <v>26</v>
      </c>
      <c r="C9" s="25" t="str">
        <f>"F"&amp;B9</f>
        <v>F26</v>
      </c>
      <c r="D9" s="26" t="str">
        <f>"G"&amp;B9</f>
        <v>G26</v>
      </c>
    </row>
    <row r="10" spans="1:6" ht="12.95" customHeight="1" thickBot="1" x14ac:dyDescent="0.25">
      <c r="A10" s="12"/>
      <c r="B10" s="12"/>
      <c r="C10" s="4" t="s">
        <v>20</v>
      </c>
      <c r="D10" s="4" t="s">
        <v>21</v>
      </c>
      <c r="E10" s="12"/>
    </row>
    <row r="11" spans="1:6" ht="12.95" customHeight="1" x14ac:dyDescent="0.2">
      <c r="A11" s="12" t="s">
        <v>15</v>
      </c>
      <c r="B11" s="12"/>
      <c r="C11" s="24">
        <f ca="1">INTERCEPT(INDIRECT($D$9):G990,INDIRECT($C$9):F990)</f>
        <v>-5.9685042679463764E-2</v>
      </c>
      <c r="D11" s="3"/>
      <c r="E11" s="12"/>
    </row>
    <row r="12" spans="1:6" ht="12.95" customHeight="1" x14ac:dyDescent="0.2">
      <c r="A12" s="12" t="s">
        <v>16</v>
      </c>
      <c r="B12" s="12"/>
      <c r="C12" s="24">
        <f ca="1">SLOPE(INDIRECT($D$9):G990,INDIRECT($C$9):F990)</f>
        <v>-1.3686688598351993E-7</v>
      </c>
      <c r="D12" s="3"/>
      <c r="E12" s="12"/>
    </row>
    <row r="13" spans="1:6" ht="12.95" customHeight="1" x14ac:dyDescent="0.2">
      <c r="A13" s="12" t="s">
        <v>19</v>
      </c>
      <c r="B13" s="12"/>
      <c r="C13" s="3" t="s">
        <v>13</v>
      </c>
    </row>
    <row r="14" spans="1:6" ht="12.95" customHeight="1" x14ac:dyDescent="0.2">
      <c r="A14" s="12"/>
      <c r="B14" s="12"/>
      <c r="C14" s="12"/>
    </row>
    <row r="15" spans="1:6" ht="12.95" customHeight="1" x14ac:dyDescent="0.2">
      <c r="A15" s="14" t="s">
        <v>17</v>
      </c>
      <c r="B15" s="12"/>
      <c r="C15" s="15">
        <f ca="1">(C7+C11)+(C8+C12)*INT(MAX(F21:F3531))</f>
        <v>50035.699080041246</v>
      </c>
      <c r="E15" s="3"/>
      <c r="F15" s="12"/>
    </row>
    <row r="16" spans="1:6" ht="12.95" customHeight="1" x14ac:dyDescent="0.2">
      <c r="A16" s="18" t="s">
        <v>4</v>
      </c>
      <c r="B16" s="12"/>
      <c r="C16" s="19">
        <f ca="1">+C8+C12</f>
        <v>1.9203718631331139</v>
      </c>
      <c r="E16" s="12"/>
      <c r="F16" s="12"/>
    </row>
    <row r="17" spans="1:18" ht="12.95" customHeight="1" thickBot="1" x14ac:dyDescent="0.25">
      <c r="A17" s="16" t="s">
        <v>29</v>
      </c>
      <c r="B17" s="12"/>
      <c r="C17" s="12">
        <f>COUNT(C21:C2189)</f>
        <v>11</v>
      </c>
      <c r="E17" s="16" t="s">
        <v>32</v>
      </c>
      <c r="F17" s="17">
        <f ca="1">TODAY()+15018.5-B5/24</f>
        <v>60368.5</v>
      </c>
    </row>
    <row r="18" spans="1:18" ht="12.95" customHeight="1" thickTop="1" thickBot="1" x14ac:dyDescent="0.25">
      <c r="A18" s="18" t="s">
        <v>5</v>
      </c>
      <c r="B18" s="12"/>
      <c r="C18" s="21">
        <f ca="1">+C15</f>
        <v>50035.699080041246</v>
      </c>
      <c r="D18" s="22">
        <f ca="1">+C16</f>
        <v>1.9203718631331139</v>
      </c>
      <c r="E18" s="16" t="s">
        <v>33</v>
      </c>
      <c r="F18" s="17">
        <f ca="1">ROUND(2*(F17-C15)/C16,0)/2+1</f>
        <v>5381.5</v>
      </c>
    </row>
    <row r="19" spans="1:18" ht="12.95" customHeight="1" thickTop="1" x14ac:dyDescent="0.2">
      <c r="E19" s="16" t="s">
        <v>34</v>
      </c>
      <c r="F19" s="20">
        <f ca="1">+C15+C16*F18-15018.5-C5/24</f>
        <v>45352.076094825432</v>
      </c>
      <c r="R19">
        <f ca="1">SQRT(SUM(R21:R31)/11)</f>
        <v>5.1731330054354173E-2</v>
      </c>
    </row>
    <row r="20" spans="1:18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50</v>
      </c>
      <c r="I20" s="7" t="s">
        <v>53</v>
      </c>
      <c r="J20" s="7" t="s">
        <v>45</v>
      </c>
      <c r="K20" s="7" t="s">
        <v>47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</row>
    <row r="21" spans="1:18" ht="12.95" customHeight="1" x14ac:dyDescent="0.2">
      <c r="A21" t="s">
        <v>37</v>
      </c>
      <c r="C21" s="30">
        <v>41856.894999999997</v>
      </c>
      <c r="E21">
        <f>+(C21-C$7)/C$8</f>
        <v>0</v>
      </c>
      <c r="F21">
        <f t="shared" ref="F21:F31" si="0">ROUND(2*E21,0)/2</f>
        <v>0</v>
      </c>
      <c r="G21">
        <f>+C21-(C$7+F21*C$8)</f>
        <v>0</v>
      </c>
      <c r="I21">
        <f>+G21</f>
        <v>0</v>
      </c>
      <c r="O21">
        <f ca="1">+C$11+C$12*$F21</f>
        <v>-5.9685042679463764E-2</v>
      </c>
      <c r="Q21" s="2">
        <f>+C21-15018.5</f>
        <v>26838.394999999997</v>
      </c>
      <c r="R21">
        <f ca="1">(O21-G21)^2</f>
        <v>3.5623043196494112E-3</v>
      </c>
    </row>
    <row r="22" spans="1:18" ht="12.95" customHeight="1" x14ac:dyDescent="0.2">
      <c r="A22" t="s">
        <v>37</v>
      </c>
      <c r="C22" s="30">
        <v>41905.85</v>
      </c>
      <c r="E22">
        <f t="shared" ref="E22:E31" si="1">+(C22-C$7)/C$8</f>
        <v>25.492456669854459</v>
      </c>
      <c r="F22">
        <f t="shared" si="0"/>
        <v>25.5</v>
      </c>
      <c r="G22">
        <f t="shared" ref="G22:G31" si="2">+C22-(C$7+F22*C$8)</f>
        <v>-1.4486000000033528E-2</v>
      </c>
      <c r="I22">
        <f>+G22</f>
        <v>-1.4486000000033528E-2</v>
      </c>
      <c r="O22">
        <f t="shared" ref="O22:O31" ca="1" si="3">+C$11+C$12*$F22</f>
        <v>-5.9688532785056342E-2</v>
      </c>
      <c r="Q22" s="2">
        <f t="shared" ref="Q22:Q31" si="4">+C22-15018.5</f>
        <v>26887.35</v>
      </c>
      <c r="R22">
        <f t="shared" ref="R22:R31" ca="1" si="5">(O22-G22)^2</f>
        <v>2.0432689701810622E-3</v>
      </c>
    </row>
    <row r="23" spans="1:18" ht="12.95" customHeight="1" x14ac:dyDescent="0.2">
      <c r="A23" t="s">
        <v>37</v>
      </c>
      <c r="C23" s="30">
        <v>41955.654000000002</v>
      </c>
      <c r="E23">
        <f t="shared" si="1"/>
        <v>51.427015182477909</v>
      </c>
      <c r="F23">
        <f t="shared" si="0"/>
        <v>51.5</v>
      </c>
      <c r="G23">
        <f t="shared" si="2"/>
        <v>-0.14015799999469891</v>
      </c>
      <c r="I23">
        <f>+G23</f>
        <v>-0.14015799999469891</v>
      </c>
      <c r="O23">
        <f t="shared" ca="1" si="3"/>
        <v>-5.9692091324091916E-2</v>
      </c>
      <c r="Q23" s="2">
        <f t="shared" si="4"/>
        <v>26937.154000000002</v>
      </c>
      <c r="R23">
        <f t="shared" ca="1" si="5"/>
        <v>6.4747624581864647E-3</v>
      </c>
    </row>
    <row r="24" spans="1:18" ht="12.95" customHeight="1" x14ac:dyDescent="0.2">
      <c r="A24" t="s">
        <v>37</v>
      </c>
      <c r="C24" s="30">
        <v>41956.614999999998</v>
      </c>
      <c r="E24">
        <f t="shared" si="1"/>
        <v>51.927439058682985</v>
      </c>
      <c r="F24">
        <f t="shared" si="0"/>
        <v>52</v>
      </c>
      <c r="G24">
        <f t="shared" si="2"/>
        <v>-0.1393439999956172</v>
      </c>
      <c r="I24">
        <f>+G24</f>
        <v>-0.1393439999956172</v>
      </c>
      <c r="O24">
        <f t="shared" ca="1" si="3"/>
        <v>-5.9692159757534904E-2</v>
      </c>
      <c r="Q24" s="2">
        <f t="shared" si="4"/>
        <v>26938.114999999998</v>
      </c>
      <c r="R24">
        <f t="shared" ca="1" si="5"/>
        <v>6.3444156533129853E-3</v>
      </c>
    </row>
    <row r="25" spans="1:18" x14ac:dyDescent="0.2">
      <c r="A25" t="s">
        <v>37</v>
      </c>
      <c r="C25" s="30">
        <v>49138.952899999997</v>
      </c>
      <c r="E25">
        <f t="shared" si="1"/>
        <v>3792.0037888492438</v>
      </c>
      <c r="F25">
        <f t="shared" si="0"/>
        <v>3792</v>
      </c>
      <c r="G25">
        <f t="shared" si="2"/>
        <v>7.2759999966365285E-3</v>
      </c>
      <c r="J25">
        <f t="shared" ref="J25:J31" si="6">+G25</f>
        <v>7.2759999966365285E-3</v>
      </c>
      <c r="O25">
        <f t="shared" ca="1" si="3"/>
        <v>-6.0204041911113268E-2</v>
      </c>
      <c r="Q25" s="2">
        <f t="shared" si="4"/>
        <v>34120.452899999997</v>
      </c>
      <c r="R25">
        <f t="shared" ca="1" si="5"/>
        <v>4.5535560558716687E-3</v>
      </c>
    </row>
    <row r="26" spans="1:18" x14ac:dyDescent="0.2">
      <c r="A26" t="s">
        <v>37</v>
      </c>
      <c r="C26" s="30">
        <v>49238.765399999997</v>
      </c>
      <c r="E26">
        <f t="shared" si="1"/>
        <v>3843.9793956587578</v>
      </c>
      <c r="F26">
        <f t="shared" si="0"/>
        <v>3844</v>
      </c>
      <c r="G26">
        <f t="shared" si="2"/>
        <v>-3.9568000000144821E-2</v>
      </c>
      <c r="J26">
        <f t="shared" si="6"/>
        <v>-3.9568000000144821E-2</v>
      </c>
      <c r="O26">
        <f t="shared" ca="1" si="3"/>
        <v>-6.0211158989184416E-2</v>
      </c>
      <c r="Q26" s="2">
        <f t="shared" si="4"/>
        <v>34220.265399999997</v>
      </c>
      <c r="R26">
        <f t="shared" ca="1" si="5"/>
        <v>4.2614001304676623E-4</v>
      </c>
    </row>
    <row r="27" spans="1:18" x14ac:dyDescent="0.2">
      <c r="A27" t="s">
        <v>37</v>
      </c>
      <c r="C27" s="30">
        <v>49288.680800000002</v>
      </c>
      <c r="E27">
        <f t="shared" si="1"/>
        <v>3869.9719637653566</v>
      </c>
      <c r="F27">
        <f t="shared" si="0"/>
        <v>3870</v>
      </c>
      <c r="G27">
        <f t="shared" si="2"/>
        <v>-5.3839999993215315E-2</v>
      </c>
      <c r="J27">
        <f t="shared" si="6"/>
        <v>-5.3839999993215315E-2</v>
      </c>
      <c r="O27">
        <f t="shared" ca="1" si="3"/>
        <v>-6.0214717528219983E-2</v>
      </c>
      <c r="Q27" s="2">
        <f t="shared" si="4"/>
        <v>34270.180800000002</v>
      </c>
      <c r="R27">
        <f t="shared" ca="1" si="5"/>
        <v>4.0637023651095985E-5</v>
      </c>
    </row>
    <row r="28" spans="1:18" x14ac:dyDescent="0.2">
      <c r="A28" t="s">
        <v>37</v>
      </c>
      <c r="C28" s="30">
        <v>49338.5625</v>
      </c>
      <c r="E28">
        <f t="shared" si="1"/>
        <v>3895.9469831886754</v>
      </c>
      <c r="F28">
        <f t="shared" si="0"/>
        <v>3896</v>
      </c>
      <c r="G28">
        <f t="shared" si="2"/>
        <v>-0.1018119999935152</v>
      </c>
      <c r="J28">
        <f t="shared" si="6"/>
        <v>-0.1018119999935152</v>
      </c>
      <c r="O28">
        <f t="shared" ca="1" si="3"/>
        <v>-6.0218276067255556E-2</v>
      </c>
      <c r="Q28" s="2">
        <f t="shared" si="4"/>
        <v>34320.0625</v>
      </c>
      <c r="R28">
        <f t="shared" ca="1" si="5"/>
        <v>1.7300378700539039E-3</v>
      </c>
    </row>
    <row r="29" spans="1:18" x14ac:dyDescent="0.2">
      <c r="A29" t="s">
        <v>37</v>
      </c>
      <c r="C29" s="30">
        <v>49886.927600000003</v>
      </c>
      <c r="E29">
        <f t="shared" si="1"/>
        <v>4181.4984805027389</v>
      </c>
      <c r="F29">
        <f t="shared" si="0"/>
        <v>4181.5</v>
      </c>
      <c r="G29">
        <f t="shared" si="2"/>
        <v>-2.9179999910411425E-3</v>
      </c>
      <c r="J29">
        <f t="shared" si="6"/>
        <v>-2.9179999910411425E-3</v>
      </c>
      <c r="O29">
        <f t="shared" ca="1" si="3"/>
        <v>-6.0257351563203852E-2</v>
      </c>
      <c r="Q29" s="2">
        <f t="shared" si="4"/>
        <v>34868.427600000003</v>
      </c>
      <c r="R29">
        <f t="shared" ca="1" si="5"/>
        <v>3.2878012387160781E-3</v>
      </c>
    </row>
    <row r="30" spans="1:18" x14ac:dyDescent="0.2">
      <c r="A30" t="s">
        <v>37</v>
      </c>
      <c r="C30" s="30">
        <v>49986.7137</v>
      </c>
      <c r="E30">
        <f t="shared" si="1"/>
        <v>4233.460339975798</v>
      </c>
      <c r="F30">
        <f t="shared" si="0"/>
        <v>4233.5</v>
      </c>
      <c r="G30">
        <f t="shared" si="2"/>
        <v>-7.6161999997566454E-2</v>
      </c>
      <c r="J30">
        <f t="shared" si="6"/>
        <v>-7.6161999997566454E-2</v>
      </c>
      <c r="O30">
        <f t="shared" ca="1" si="3"/>
        <v>-6.0264468641274993E-2</v>
      </c>
      <c r="Q30" s="2">
        <f t="shared" si="4"/>
        <v>34968.2137</v>
      </c>
      <c r="R30">
        <f t="shared" ca="1" si="5"/>
        <v>2.5273150322427021E-4</v>
      </c>
    </row>
    <row r="31" spans="1:18" x14ac:dyDescent="0.2">
      <c r="A31" t="s">
        <v>37</v>
      </c>
      <c r="C31" s="30">
        <v>50036.632400000002</v>
      </c>
      <c r="E31">
        <f t="shared" si="1"/>
        <v>4259.4546264994524</v>
      </c>
      <c r="F31">
        <f t="shared" si="0"/>
        <v>4259.5</v>
      </c>
      <c r="G31">
        <f t="shared" si="2"/>
        <v>-8.7133999993966427E-2</v>
      </c>
      <c r="J31">
        <f t="shared" si="6"/>
        <v>-8.7133999993966427E-2</v>
      </c>
      <c r="O31">
        <f t="shared" ca="1" si="3"/>
        <v>-6.0268027180310567E-2</v>
      </c>
      <c r="Q31" s="2">
        <f t="shared" si="4"/>
        <v>35018.132400000002</v>
      </c>
      <c r="R31">
        <f t="shared" ca="1" si="5"/>
        <v>7.2178049522409577E-4</v>
      </c>
    </row>
    <row r="32" spans="1:18" x14ac:dyDescent="0.2">
      <c r="C32" s="10"/>
      <c r="D32" s="10"/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6938"/>
  <sheetViews>
    <sheetView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39" sqref="E3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7.42578125" customWidth="1"/>
  </cols>
  <sheetData>
    <row r="1" spans="1:7" ht="20.25" x14ac:dyDescent="0.3">
      <c r="A1" s="1" t="s">
        <v>93</v>
      </c>
    </row>
    <row r="2" spans="1:7" ht="12.95" customHeight="1" x14ac:dyDescent="0.2">
      <c r="A2" t="s">
        <v>24</v>
      </c>
      <c r="C2" s="3"/>
      <c r="D2" s="3"/>
    </row>
    <row r="3" spans="1:7" ht="12.95" customHeight="1" thickBot="1" x14ac:dyDescent="0.25"/>
    <row r="4" spans="1:7" ht="12.95" customHeight="1" thickTop="1" thickBot="1" x14ac:dyDescent="0.25">
      <c r="A4" s="5" t="s">
        <v>0</v>
      </c>
      <c r="C4" s="8">
        <v>44444</v>
      </c>
      <c r="D4" s="9">
        <v>1.1111</v>
      </c>
    </row>
    <row r="5" spans="1:7" ht="12.95" customHeight="1" x14ac:dyDescent="0.2"/>
    <row r="6" spans="1:7" ht="12.95" customHeight="1" x14ac:dyDescent="0.2">
      <c r="A6" s="5" t="s">
        <v>1</v>
      </c>
    </row>
    <row r="7" spans="1:7" ht="12.95" customHeight="1" x14ac:dyDescent="0.2">
      <c r="A7" t="s">
        <v>2</v>
      </c>
      <c r="C7" s="29">
        <v>41856.894999999997</v>
      </c>
    </row>
    <row r="8" spans="1:7" ht="12.95" customHeight="1" x14ac:dyDescent="0.2">
      <c r="A8" t="s">
        <v>3</v>
      </c>
      <c r="C8">
        <v>1.917864</v>
      </c>
    </row>
    <row r="9" spans="1:7" ht="12.95" customHeight="1" x14ac:dyDescent="0.2">
      <c r="A9" s="11" t="s">
        <v>30</v>
      </c>
      <c r="B9" s="12"/>
      <c r="C9" s="13">
        <v>-9.5</v>
      </c>
      <c r="D9" s="12" t="s">
        <v>31</v>
      </c>
      <c r="E9" s="12"/>
    </row>
    <row r="10" spans="1:7" ht="12.95" customHeight="1" thickBot="1" x14ac:dyDescent="0.25">
      <c r="A10" s="12"/>
      <c r="B10" s="12"/>
      <c r="C10" s="4" t="s">
        <v>20</v>
      </c>
      <c r="D10" s="4" t="s">
        <v>21</v>
      </c>
      <c r="E10" s="12"/>
    </row>
    <row r="11" spans="1:7" ht="12.95" customHeight="1" x14ac:dyDescent="0.2">
      <c r="A11" s="12" t="s">
        <v>15</v>
      </c>
      <c r="B11" s="12"/>
      <c r="C11" s="24">
        <f ca="1">INTERCEPT(INDIRECT($G$11):G990,INDIRECT($F$11):F990)</f>
        <v>-5.8512596155862697</v>
      </c>
      <c r="D11" s="3"/>
      <c r="E11" s="12"/>
      <c r="F11" s="25" t="str">
        <f>"F"&amp;E19</f>
        <v>F29</v>
      </c>
      <c r="G11" s="26" t="str">
        <f>"G"&amp;E19</f>
        <v>G29</v>
      </c>
    </row>
    <row r="12" spans="1:7" ht="12.95" customHeight="1" x14ac:dyDescent="0.2">
      <c r="A12" s="12" t="s">
        <v>16</v>
      </c>
      <c r="B12" s="12"/>
      <c r="C12" s="24">
        <f ca="1">SLOPE(INDIRECT($G$11):G990,INDIRECT($F$11):F990)</f>
        <v>1.3813296703789333E-3</v>
      </c>
      <c r="D12" s="3"/>
      <c r="E12" s="12"/>
    </row>
    <row r="13" spans="1:7" ht="12.95" customHeight="1" x14ac:dyDescent="0.2">
      <c r="A13" s="12" t="s">
        <v>19</v>
      </c>
      <c r="B13" s="12"/>
      <c r="C13" s="3" t="s">
        <v>13</v>
      </c>
      <c r="D13" s="3"/>
      <c r="E13" s="12"/>
    </row>
    <row r="14" spans="1:7" ht="12.95" customHeight="1" x14ac:dyDescent="0.2">
      <c r="A14" s="12"/>
      <c r="B14" s="12"/>
      <c r="C14" s="12"/>
      <c r="D14" s="12"/>
      <c r="E14" s="12"/>
    </row>
    <row r="15" spans="1:7" ht="12.95" customHeight="1" x14ac:dyDescent="0.2">
      <c r="A15" s="14" t="s">
        <v>17</v>
      </c>
      <c r="B15" s="12"/>
      <c r="C15" s="15">
        <f ca="1">(C7+C11)+(C8+C12)*INT(MAX(F21:F3531))</f>
        <v>50036.625071428578</v>
      </c>
      <c r="D15" s="16" t="s">
        <v>32</v>
      </c>
      <c r="E15" s="17">
        <f ca="1">TODAY()+15018.5-B9/24</f>
        <v>60368.5</v>
      </c>
    </row>
    <row r="16" spans="1:7" ht="12.95" customHeight="1" x14ac:dyDescent="0.2">
      <c r="A16" s="18" t="s">
        <v>4</v>
      </c>
      <c r="B16" s="12"/>
      <c r="C16" s="19">
        <f ca="1">+C8+C12</f>
        <v>1.9192453296703789</v>
      </c>
      <c r="D16" s="16" t="s">
        <v>33</v>
      </c>
      <c r="E16" s="17">
        <f ca="1">ROUND(2*(E15-C15)/C16,0)/2+1</f>
        <v>5384.5</v>
      </c>
    </row>
    <row r="17" spans="1:17" ht="12.95" customHeight="1" thickBot="1" x14ac:dyDescent="0.25">
      <c r="A17" s="16" t="s">
        <v>29</v>
      </c>
      <c r="B17" s="12"/>
      <c r="C17" s="12">
        <f>COUNT(C21:C2189)</f>
        <v>11</v>
      </c>
      <c r="D17" s="16" t="s">
        <v>34</v>
      </c>
      <c r="E17" s="20">
        <f ca="1">+C15+C16*E16-15018.5-C9/24</f>
        <v>45352.697382372069</v>
      </c>
    </row>
    <row r="18" spans="1:17" ht="12.95" customHeight="1" thickTop="1" thickBot="1" x14ac:dyDescent="0.25">
      <c r="A18" s="18" t="s">
        <v>5</v>
      </c>
      <c r="B18" s="12"/>
      <c r="C18" s="21">
        <f ca="1">+C15</f>
        <v>50036.625071428578</v>
      </c>
      <c r="D18" s="22">
        <f ca="1">+C16</f>
        <v>1.9192453296703789</v>
      </c>
      <c r="E18" s="23" t="s">
        <v>35</v>
      </c>
    </row>
    <row r="19" spans="1:17" ht="12.95" customHeight="1" thickTop="1" x14ac:dyDescent="0.2">
      <c r="A19" s="27" t="s">
        <v>36</v>
      </c>
      <c r="E19" s="28">
        <v>29</v>
      </c>
    </row>
    <row r="20" spans="1:17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53</v>
      </c>
      <c r="I20" s="7" t="s">
        <v>45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</row>
    <row r="21" spans="1:17" ht="12.95" customHeight="1" x14ac:dyDescent="0.2">
      <c r="A21" t="s">
        <v>37</v>
      </c>
      <c r="C21" s="30">
        <v>41856.894999999997</v>
      </c>
      <c r="E21">
        <f t="shared" ref="E21:E31" si="0">+(C21-C$7)/C$8</f>
        <v>0</v>
      </c>
      <c r="F21">
        <f t="shared" ref="F21:F31" si="1">ROUND(2*E21,0)/2</f>
        <v>0</v>
      </c>
      <c r="G21">
        <f t="shared" ref="G21:G31" si="2">+C21-(C$7+F21*C$8)</f>
        <v>0</v>
      </c>
      <c r="H21">
        <f t="shared" ref="H21:H31" si="3">+G21</f>
        <v>0</v>
      </c>
      <c r="O21">
        <f t="shared" ref="O21:O31" ca="1" si="4">+C$11+C$12*$F21</f>
        <v>-5.8512596155862697</v>
      </c>
      <c r="Q21" s="2">
        <f t="shared" ref="Q21:Q31" si="5">+C21-15018.5</f>
        <v>26838.394999999997</v>
      </c>
    </row>
    <row r="22" spans="1:17" ht="12.95" customHeight="1" x14ac:dyDescent="0.2">
      <c r="A22" t="s">
        <v>37</v>
      </c>
      <c r="C22" s="30">
        <v>41905.85</v>
      </c>
      <c r="E22">
        <f t="shared" si="0"/>
        <v>25.525793278356414</v>
      </c>
      <c r="F22">
        <f t="shared" si="1"/>
        <v>25.5</v>
      </c>
      <c r="G22">
        <f t="shared" si="2"/>
        <v>4.9468000004708301E-2</v>
      </c>
      <c r="H22">
        <f t="shared" si="3"/>
        <v>4.9468000004708301E-2</v>
      </c>
      <c r="O22">
        <f t="shared" ca="1" si="4"/>
        <v>-5.816035708991607</v>
      </c>
      <c r="Q22" s="2">
        <f t="shared" si="5"/>
        <v>26887.35</v>
      </c>
    </row>
    <row r="23" spans="1:17" ht="12.95" customHeight="1" x14ac:dyDescent="0.2">
      <c r="A23" t="s">
        <v>37</v>
      </c>
      <c r="C23" s="30">
        <v>41955.654000000002</v>
      </c>
      <c r="E23">
        <f t="shared" si="0"/>
        <v>51.494266538193258</v>
      </c>
      <c r="F23">
        <f t="shared" si="1"/>
        <v>51.5</v>
      </c>
      <c r="G23">
        <f t="shared" si="2"/>
        <v>-1.0995999997248873E-2</v>
      </c>
      <c r="H23">
        <f t="shared" si="3"/>
        <v>-1.0995999997248873E-2</v>
      </c>
      <c r="O23">
        <f t="shared" ca="1" si="4"/>
        <v>-5.7801211375617543</v>
      </c>
      <c r="Q23" s="2">
        <f t="shared" si="5"/>
        <v>26937.154000000002</v>
      </c>
    </row>
    <row r="24" spans="1:17" ht="12.95" customHeight="1" x14ac:dyDescent="0.2">
      <c r="A24" t="s">
        <v>37</v>
      </c>
      <c r="C24" s="30">
        <v>41956.614999999998</v>
      </c>
      <c r="E24">
        <f t="shared" si="0"/>
        <v>51.995344821114095</v>
      </c>
      <c r="F24">
        <f t="shared" si="1"/>
        <v>52</v>
      </c>
      <c r="G24">
        <f t="shared" si="2"/>
        <v>-8.9279999956488609E-3</v>
      </c>
      <c r="H24">
        <f t="shared" si="3"/>
        <v>-8.9279999956488609E-3</v>
      </c>
      <c r="O24">
        <f t="shared" ca="1" si="4"/>
        <v>-5.7794304727265651</v>
      </c>
      <c r="Q24" s="2">
        <f t="shared" si="5"/>
        <v>26938.114999999998</v>
      </c>
    </row>
    <row r="25" spans="1:17" ht="12.95" customHeight="1" x14ac:dyDescent="0.2">
      <c r="A25" t="s">
        <v>37</v>
      </c>
      <c r="C25" s="30">
        <v>49138.952899999997</v>
      </c>
      <c r="E25">
        <f t="shared" si="0"/>
        <v>3796.9626104875006</v>
      </c>
      <c r="F25">
        <f t="shared" si="1"/>
        <v>3797</v>
      </c>
      <c r="G25">
        <f t="shared" si="2"/>
        <v>-7.1708000003127381E-2</v>
      </c>
      <c r="I25">
        <f>+G25</f>
        <v>-7.1708000003127381E-2</v>
      </c>
      <c r="O25">
        <f t="shared" ca="1" si="4"/>
        <v>-0.60635085715745962</v>
      </c>
      <c r="Q25" s="2">
        <f t="shared" si="5"/>
        <v>34120.452899999997</v>
      </c>
    </row>
    <row r="26" spans="1:17" ht="12.95" customHeight="1" x14ac:dyDescent="0.2">
      <c r="A26" t="s">
        <v>37</v>
      </c>
      <c r="C26" s="30">
        <v>49238.765399999997</v>
      </c>
      <c r="E26">
        <f t="shared" si="0"/>
        <v>3849.0061860486458</v>
      </c>
      <c r="F26">
        <f t="shared" si="1"/>
        <v>3849</v>
      </c>
      <c r="G26">
        <f t="shared" si="2"/>
        <v>1.1864000000059605E-2</v>
      </c>
      <c r="I26">
        <f>+G26</f>
        <v>1.1864000000059605E-2</v>
      </c>
      <c r="O26">
        <f t="shared" ca="1" si="4"/>
        <v>-0.53452171429775586</v>
      </c>
      <c r="Q26" s="2">
        <f t="shared" si="5"/>
        <v>34220.265399999997</v>
      </c>
    </row>
    <row r="27" spans="1:17" ht="12.95" customHeight="1" x14ac:dyDescent="0.2">
      <c r="A27" t="s">
        <v>37</v>
      </c>
      <c r="C27" s="30">
        <v>49288.680800000002</v>
      </c>
      <c r="E27">
        <f t="shared" si="0"/>
        <v>3875.0327447618834</v>
      </c>
      <c r="F27">
        <f t="shared" si="1"/>
        <v>3875</v>
      </c>
      <c r="G27">
        <f t="shared" si="2"/>
        <v>6.2800000006973278E-2</v>
      </c>
      <c r="I27">
        <f>+G27</f>
        <v>6.2800000006973278E-2</v>
      </c>
      <c r="O27">
        <f t="shared" ca="1" si="4"/>
        <v>-0.49860714286790309</v>
      </c>
      <c r="Q27" s="2">
        <f t="shared" si="5"/>
        <v>34270.180800000002</v>
      </c>
    </row>
    <row r="28" spans="1:17" ht="12.95" customHeight="1" x14ac:dyDescent="0.2">
      <c r="A28" t="s">
        <v>37</v>
      </c>
      <c r="C28" s="30">
        <v>49338.5625</v>
      </c>
      <c r="E28">
        <f t="shared" si="0"/>
        <v>3901.0417318433442</v>
      </c>
      <c r="F28">
        <f t="shared" si="1"/>
        <v>3901</v>
      </c>
      <c r="G28">
        <f t="shared" si="2"/>
        <v>8.0035999999381602E-2</v>
      </c>
      <c r="I28">
        <f>+G28</f>
        <v>8.0035999999381602E-2</v>
      </c>
      <c r="O28">
        <f t="shared" ca="1" si="4"/>
        <v>-0.4626925714380512</v>
      </c>
      <c r="Q28" s="2">
        <f t="shared" si="5"/>
        <v>34320.0625</v>
      </c>
    </row>
    <row r="29" spans="1:17" ht="12.95" customHeight="1" x14ac:dyDescent="0.2">
      <c r="A29" t="s">
        <v>37</v>
      </c>
      <c r="C29" s="30">
        <v>49886.927600000003</v>
      </c>
      <c r="E29">
        <f t="shared" si="0"/>
        <v>4186.9666462272644</v>
      </c>
      <c r="F29">
        <f t="shared" si="1"/>
        <v>4187</v>
      </c>
      <c r="G29">
        <f t="shared" si="2"/>
        <v>-6.3967999994929414E-2</v>
      </c>
      <c r="I29">
        <f>+G29</f>
        <v>-6.3967999994929414E-2</v>
      </c>
      <c r="O29">
        <f t="shared" ca="1" si="4"/>
        <v>-6.7632285709676054E-2</v>
      </c>
      <c r="Q29" s="2">
        <f t="shared" si="5"/>
        <v>34868.427600000003</v>
      </c>
    </row>
    <row r="30" spans="1:17" ht="12.95" customHeight="1" x14ac:dyDescent="0.2">
      <c r="A30" t="s">
        <v>37</v>
      </c>
      <c r="C30" s="30">
        <v>49986.7137</v>
      </c>
      <c r="E30">
        <f t="shared" si="0"/>
        <v>4238.996456474496</v>
      </c>
      <c r="F30">
        <f t="shared" si="1"/>
        <v>4239</v>
      </c>
      <c r="G30">
        <f t="shared" si="2"/>
        <v>-6.7959999942104332E-3</v>
      </c>
      <c r="I30">
        <f>+G30</f>
        <v>-6.7959999942104332E-3</v>
      </c>
      <c r="O30">
        <f t="shared" ca="1" si="4"/>
        <v>4.1968571500285989E-3</v>
      </c>
      <c r="Q30" s="2">
        <f t="shared" si="5"/>
        <v>34968.2137</v>
      </c>
    </row>
    <row r="31" spans="1:17" ht="12.95" customHeight="1" x14ac:dyDescent="0.2">
      <c r="A31" t="s">
        <v>37</v>
      </c>
      <c r="C31" s="30">
        <v>50036.632400000002</v>
      </c>
      <c r="E31">
        <f t="shared" si="0"/>
        <v>4265.0247358519719</v>
      </c>
      <c r="F31">
        <f t="shared" si="1"/>
        <v>4265</v>
      </c>
      <c r="G31">
        <f t="shared" si="2"/>
        <v>4.7440000009373762E-2</v>
      </c>
      <c r="I31">
        <f>+G31</f>
        <v>4.7440000009373762E-2</v>
      </c>
      <c r="O31">
        <f t="shared" ca="1" si="4"/>
        <v>4.0111428579880481E-2</v>
      </c>
      <c r="Q31" s="2">
        <f t="shared" si="5"/>
        <v>35018.132400000002</v>
      </c>
    </row>
    <row r="32" spans="1:17" ht="12.95" customHeight="1" x14ac:dyDescent="0.2">
      <c r="C32" s="10"/>
      <c r="D32" s="10"/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6938"/>
  <sheetViews>
    <sheetView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34" sqref="E34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7.42578125" customWidth="1"/>
  </cols>
  <sheetData>
    <row r="1" spans="1:7" ht="20.25" x14ac:dyDescent="0.3">
      <c r="A1" s="1" t="s">
        <v>93</v>
      </c>
    </row>
    <row r="2" spans="1:7" s="46" customFormat="1" ht="12.95" customHeight="1" x14ac:dyDescent="0.2">
      <c r="A2" s="46" t="s">
        <v>24</v>
      </c>
      <c r="C2" s="47"/>
      <c r="D2" s="47"/>
    </row>
    <row r="3" spans="1:7" s="46" customFormat="1" ht="12.95" customHeight="1" thickBot="1" x14ac:dyDescent="0.25"/>
    <row r="4" spans="1:7" s="46" customFormat="1" ht="12.95" customHeight="1" thickTop="1" thickBot="1" x14ac:dyDescent="0.25">
      <c r="A4" s="48" t="s">
        <v>0</v>
      </c>
      <c r="C4" s="49">
        <v>44444</v>
      </c>
      <c r="D4" s="50">
        <v>1.1111</v>
      </c>
    </row>
    <row r="5" spans="1:7" s="46" customFormat="1" ht="12.95" customHeight="1" x14ac:dyDescent="0.2"/>
    <row r="6" spans="1:7" s="46" customFormat="1" ht="12.95" customHeight="1" x14ac:dyDescent="0.2">
      <c r="A6" s="48" t="s">
        <v>1</v>
      </c>
    </row>
    <row r="7" spans="1:7" s="46" customFormat="1" ht="12.95" customHeight="1" x14ac:dyDescent="0.2">
      <c r="A7" s="46" t="s">
        <v>2</v>
      </c>
      <c r="C7" s="51">
        <v>41856.894999999997</v>
      </c>
    </row>
    <row r="8" spans="1:7" s="46" customFormat="1" ht="12.95" customHeight="1" x14ac:dyDescent="0.2">
      <c r="A8" s="46" t="s">
        <v>3</v>
      </c>
      <c r="C8" s="46">
        <v>0.95893200000000001</v>
      </c>
    </row>
    <row r="9" spans="1:7" s="46" customFormat="1" ht="12.95" customHeight="1" x14ac:dyDescent="0.2">
      <c r="A9" s="52" t="s">
        <v>30</v>
      </c>
      <c r="C9" s="53">
        <v>-9.5</v>
      </c>
      <c r="D9" s="46" t="s">
        <v>31</v>
      </c>
    </row>
    <row r="10" spans="1:7" s="46" customFormat="1" ht="12.95" customHeight="1" thickBot="1" x14ac:dyDescent="0.25">
      <c r="C10" s="54" t="s">
        <v>20</v>
      </c>
      <c r="D10" s="54" t="s">
        <v>21</v>
      </c>
    </row>
    <row r="11" spans="1:7" s="46" customFormat="1" ht="12.95" customHeight="1" x14ac:dyDescent="0.2">
      <c r="A11" s="46" t="s">
        <v>15</v>
      </c>
      <c r="C11" s="55">
        <f ca="1">INTERCEPT(INDIRECT($G$11):G990,INDIRECT($F$11):F990)</f>
        <v>-5.1394642510353732</v>
      </c>
      <c r="D11" s="47"/>
      <c r="F11" s="56" t="str">
        <f>"F"&amp;E19</f>
        <v>F25</v>
      </c>
      <c r="G11" s="55" t="str">
        <f>"G"&amp;E19</f>
        <v>G25</v>
      </c>
    </row>
    <row r="12" spans="1:7" s="46" customFormat="1" ht="12.95" customHeight="1" x14ac:dyDescent="0.2">
      <c r="A12" s="46" t="s">
        <v>16</v>
      </c>
      <c r="C12" s="55">
        <f ca="1">SLOPE(INDIRECT($G$11):G990,INDIRECT($F$11):F990)</f>
        <v>6.0678049650131024E-4</v>
      </c>
      <c r="D12" s="47"/>
    </row>
    <row r="13" spans="1:7" s="46" customFormat="1" ht="12.95" customHeight="1" x14ac:dyDescent="0.2">
      <c r="A13" s="46" t="s">
        <v>19</v>
      </c>
      <c r="C13" s="47" t="s">
        <v>13</v>
      </c>
      <c r="D13" s="47"/>
    </row>
    <row r="14" spans="1:7" s="46" customFormat="1" ht="12.95" customHeight="1" x14ac:dyDescent="0.2"/>
    <row r="15" spans="1:7" s="46" customFormat="1" ht="12.95" customHeight="1" x14ac:dyDescent="0.2">
      <c r="A15" s="57" t="s">
        <v>17</v>
      </c>
      <c r="C15" s="58">
        <f ca="1">(C7+C11)+(C8+C12)*INT(MAX(F21:F3531))</f>
        <v>50036.621333384115</v>
      </c>
      <c r="D15" s="59" t="s">
        <v>32</v>
      </c>
      <c r="E15" s="60">
        <f ca="1">TODAY()+15018.5-B9/24</f>
        <v>60368.5</v>
      </c>
    </row>
    <row r="16" spans="1:7" s="46" customFormat="1" ht="12.95" customHeight="1" x14ac:dyDescent="0.2">
      <c r="A16" s="48" t="s">
        <v>4</v>
      </c>
      <c r="C16" s="61">
        <f ca="1">+C8+C12</f>
        <v>0.95953878049650132</v>
      </c>
      <c r="D16" s="59" t="s">
        <v>33</v>
      </c>
      <c r="E16" s="60">
        <f ca="1">ROUND(2*(E15-C15)/C16,0)/2+1</f>
        <v>10768.5</v>
      </c>
    </row>
    <row r="17" spans="1:17" s="46" customFormat="1" ht="12.95" customHeight="1" thickBot="1" x14ac:dyDescent="0.25">
      <c r="A17" s="59" t="s">
        <v>29</v>
      </c>
      <c r="C17" s="46">
        <f>COUNT(C21:C2189)</f>
        <v>11</v>
      </c>
      <c r="D17" s="59" t="s">
        <v>34</v>
      </c>
      <c r="E17" s="62">
        <f ca="1">+C15+C16*E16-15018.5-C9/24</f>
        <v>45351.310524494023</v>
      </c>
    </row>
    <row r="18" spans="1:17" s="46" customFormat="1" ht="12.95" customHeight="1" thickTop="1" thickBot="1" x14ac:dyDescent="0.25">
      <c r="A18" s="48" t="s">
        <v>5</v>
      </c>
      <c r="C18" s="63">
        <f ca="1">+C15</f>
        <v>50036.621333384115</v>
      </c>
      <c r="D18" s="64">
        <f ca="1">+C16</f>
        <v>0.95953878049650132</v>
      </c>
      <c r="E18" s="65" t="s">
        <v>35</v>
      </c>
    </row>
    <row r="19" spans="1:17" s="46" customFormat="1" ht="12.95" customHeight="1" thickTop="1" x14ac:dyDescent="0.2">
      <c r="A19" s="66" t="s">
        <v>36</v>
      </c>
      <c r="E19" s="67">
        <v>25</v>
      </c>
    </row>
    <row r="20" spans="1:17" s="46" customFormat="1" ht="12.95" customHeight="1" thickBot="1" x14ac:dyDescent="0.25">
      <c r="A20" s="54" t="s">
        <v>6</v>
      </c>
      <c r="B20" s="54" t="s">
        <v>7</v>
      </c>
      <c r="C20" s="54" t="s">
        <v>8</v>
      </c>
      <c r="D20" s="54" t="s">
        <v>12</v>
      </c>
      <c r="E20" s="54" t="s">
        <v>9</v>
      </c>
      <c r="F20" s="54" t="s">
        <v>10</v>
      </c>
      <c r="G20" s="54" t="s">
        <v>11</v>
      </c>
      <c r="H20" s="68" t="s">
        <v>94</v>
      </c>
      <c r="I20" s="68" t="s">
        <v>45</v>
      </c>
      <c r="J20" s="68" t="s">
        <v>18</v>
      </c>
      <c r="K20" s="68" t="s">
        <v>25</v>
      </c>
      <c r="L20" s="68" t="s">
        <v>26</v>
      </c>
      <c r="M20" s="68" t="s">
        <v>27</v>
      </c>
      <c r="N20" s="68" t="s">
        <v>28</v>
      </c>
      <c r="O20" s="68" t="s">
        <v>23</v>
      </c>
      <c r="P20" s="69" t="s">
        <v>22</v>
      </c>
      <c r="Q20" s="54" t="s">
        <v>14</v>
      </c>
    </row>
    <row r="21" spans="1:17" s="46" customFormat="1" ht="12.95" customHeight="1" x14ac:dyDescent="0.2">
      <c r="A21" s="46" t="s">
        <v>37</v>
      </c>
      <c r="C21" s="70">
        <v>41856.894999999997</v>
      </c>
      <c r="E21" s="46">
        <f t="shared" ref="E21:E31" si="0">+(C21-C$7)/C$8</f>
        <v>0</v>
      </c>
      <c r="F21" s="71">
        <f>ROUND(2*E21,0)/2+5</f>
        <v>5</v>
      </c>
      <c r="G21" s="46">
        <f t="shared" ref="G21:G31" si="1">+C21-(C$7+F21*C$8)</f>
        <v>-4.7946599999995669</v>
      </c>
      <c r="H21" s="46">
        <f t="shared" ref="H21:H24" si="2">+G21</f>
        <v>-4.7946599999995669</v>
      </c>
      <c r="O21" s="46">
        <f t="shared" ref="O21:O31" ca="1" si="3">+C$11+C$12*$F21</f>
        <v>-5.1364303485528664</v>
      </c>
      <c r="Q21" s="72">
        <f t="shared" ref="Q21:Q31" si="4">+C21-15018.5</f>
        <v>26838.394999999997</v>
      </c>
    </row>
    <row r="22" spans="1:17" s="46" customFormat="1" ht="12.95" customHeight="1" x14ac:dyDescent="0.2">
      <c r="A22" s="46" t="s">
        <v>37</v>
      </c>
      <c r="C22" s="70">
        <v>41905.85</v>
      </c>
      <c r="E22" s="46">
        <f t="shared" si="0"/>
        <v>51.051586556712827</v>
      </c>
      <c r="F22" s="71">
        <f>ROUND(2*E22,0)/2+5</f>
        <v>56</v>
      </c>
      <c r="G22" s="46">
        <f t="shared" si="1"/>
        <v>-4.7451919999948586</v>
      </c>
      <c r="H22" s="46">
        <f t="shared" si="2"/>
        <v>-4.7451919999948586</v>
      </c>
      <c r="O22" s="46">
        <f t="shared" ca="1" si="3"/>
        <v>-5.1054845432312996</v>
      </c>
      <c r="Q22" s="72">
        <f t="shared" si="4"/>
        <v>26887.35</v>
      </c>
    </row>
    <row r="23" spans="1:17" s="46" customFormat="1" ht="12.95" customHeight="1" x14ac:dyDescent="0.2">
      <c r="A23" s="46" t="s">
        <v>37</v>
      </c>
      <c r="C23" s="70">
        <v>41955.654000000002</v>
      </c>
      <c r="E23" s="46">
        <f t="shared" si="0"/>
        <v>102.98853307638652</v>
      </c>
      <c r="F23" s="71">
        <f>ROUND(2*E23,0)/2+5</f>
        <v>108</v>
      </c>
      <c r="G23" s="46">
        <f t="shared" si="1"/>
        <v>-4.8056559999968158</v>
      </c>
      <c r="H23" s="46">
        <f t="shared" si="2"/>
        <v>-4.8056559999968158</v>
      </c>
      <c r="O23" s="46">
        <f t="shared" ca="1" si="3"/>
        <v>-5.0739319574132313</v>
      </c>
      <c r="Q23" s="72">
        <f t="shared" si="4"/>
        <v>26937.154000000002</v>
      </c>
    </row>
    <row r="24" spans="1:17" s="46" customFormat="1" ht="12.95" customHeight="1" x14ac:dyDescent="0.2">
      <c r="A24" s="46" t="s">
        <v>37</v>
      </c>
      <c r="C24" s="70">
        <v>41956.614999999998</v>
      </c>
      <c r="E24" s="46">
        <f t="shared" si="0"/>
        <v>103.99068964222819</v>
      </c>
      <c r="F24" s="71">
        <f>ROUND(2*E24,0)/2+5</f>
        <v>109</v>
      </c>
      <c r="G24" s="46">
        <f t="shared" si="1"/>
        <v>-4.8035879999952158</v>
      </c>
      <c r="H24" s="46">
        <f t="shared" si="2"/>
        <v>-4.8035879999952158</v>
      </c>
      <c r="O24" s="46">
        <f t="shared" ca="1" si="3"/>
        <v>-5.0733251769167307</v>
      </c>
      <c r="Q24" s="72">
        <f t="shared" si="4"/>
        <v>26938.114999999998</v>
      </c>
    </row>
    <row r="25" spans="1:17" s="46" customFormat="1" ht="12.95" customHeight="1" x14ac:dyDescent="0.2">
      <c r="A25" s="46" t="s">
        <v>37</v>
      </c>
      <c r="C25" s="70">
        <v>49138.952899999997</v>
      </c>
      <c r="E25" s="46">
        <f t="shared" si="0"/>
        <v>7593.9252209750011</v>
      </c>
      <c r="F25" s="73">
        <f>ROUND(2*E25,0)/2+0.5</f>
        <v>7594.5</v>
      </c>
      <c r="G25" s="46">
        <f t="shared" si="1"/>
        <v>-0.55117400000017369</v>
      </c>
      <c r="I25" s="46">
        <f>+G25</f>
        <v>-0.55117400000017369</v>
      </c>
      <c r="O25" s="46">
        <f t="shared" ca="1" si="3"/>
        <v>-0.53126977035617262</v>
      </c>
      <c r="Q25" s="72">
        <f t="shared" si="4"/>
        <v>34120.452899999997</v>
      </c>
    </row>
    <row r="26" spans="1:17" s="46" customFormat="1" ht="12.95" customHeight="1" x14ac:dyDescent="0.2">
      <c r="A26" s="46" t="s">
        <v>37</v>
      </c>
      <c r="C26" s="70">
        <v>49238.765399999997</v>
      </c>
      <c r="E26" s="46">
        <f t="shared" si="0"/>
        <v>7698.0123720972915</v>
      </c>
      <c r="F26" s="73">
        <f>ROUND(2*E26,0)/2+0.5</f>
        <v>7698.5</v>
      </c>
      <c r="G26" s="46">
        <f t="shared" si="1"/>
        <v>-0.46760199999698671</v>
      </c>
      <c r="I26" s="46">
        <f>+G26</f>
        <v>-0.46760199999698671</v>
      </c>
      <c r="O26" s="46">
        <f t="shared" ca="1" si="3"/>
        <v>-0.46816459872003602</v>
      </c>
      <c r="Q26" s="72">
        <f t="shared" si="4"/>
        <v>34220.265399999997</v>
      </c>
    </row>
    <row r="27" spans="1:17" s="46" customFormat="1" ht="12.95" customHeight="1" x14ac:dyDescent="0.2">
      <c r="A27" s="46" t="s">
        <v>37</v>
      </c>
      <c r="C27" s="70">
        <v>49288.680800000002</v>
      </c>
      <c r="E27" s="46">
        <f t="shared" si="0"/>
        <v>7750.0654895237667</v>
      </c>
      <c r="F27" s="73">
        <f>ROUND(2*E27,0)/2+0.5</f>
        <v>7750.5</v>
      </c>
      <c r="G27" s="46">
        <f t="shared" si="1"/>
        <v>-0.41666599999734899</v>
      </c>
      <c r="I27" s="46">
        <f>+G27</f>
        <v>-0.41666599999734899</v>
      </c>
      <c r="O27" s="46">
        <f t="shared" ca="1" si="3"/>
        <v>-0.4366120129019686</v>
      </c>
      <c r="Q27" s="72">
        <f t="shared" si="4"/>
        <v>34270.180800000002</v>
      </c>
    </row>
    <row r="28" spans="1:17" s="46" customFormat="1" ht="12.95" customHeight="1" x14ac:dyDescent="0.2">
      <c r="A28" s="46" t="s">
        <v>37</v>
      </c>
      <c r="C28" s="70">
        <v>49338.5625</v>
      </c>
      <c r="E28" s="46">
        <f t="shared" si="0"/>
        <v>7802.0834636866884</v>
      </c>
      <c r="F28" s="73">
        <f>ROUND(2*E28,0)/2+0.5</f>
        <v>7802.5</v>
      </c>
      <c r="G28" s="46">
        <f t="shared" si="1"/>
        <v>-0.39942999999766471</v>
      </c>
      <c r="I28" s="46">
        <f>+G28</f>
        <v>-0.39942999999766471</v>
      </c>
      <c r="O28" s="46">
        <f t="shared" ca="1" si="3"/>
        <v>-0.4050594270839003</v>
      </c>
      <c r="Q28" s="72">
        <f t="shared" si="4"/>
        <v>34320.0625</v>
      </c>
    </row>
    <row r="29" spans="1:17" s="46" customFormat="1" ht="12.95" customHeight="1" x14ac:dyDescent="0.2">
      <c r="A29" s="46" t="s">
        <v>37</v>
      </c>
      <c r="C29" s="70">
        <v>49886.927600000003</v>
      </c>
      <c r="E29" s="46">
        <f t="shared" si="0"/>
        <v>8373.9332924545288</v>
      </c>
      <c r="F29" s="46">
        <f>ROUND(2*E29,0)/2</f>
        <v>8374</v>
      </c>
      <c r="G29" s="46">
        <f t="shared" si="1"/>
        <v>-6.3967999994929414E-2</v>
      </c>
      <c r="I29" s="46">
        <f>+G29</f>
        <v>-6.3967999994929414E-2</v>
      </c>
      <c r="O29" s="46">
        <f t="shared" ca="1" si="3"/>
        <v>-5.8284373333401085E-2</v>
      </c>
      <c r="Q29" s="72">
        <f t="shared" si="4"/>
        <v>34868.427600000003</v>
      </c>
    </row>
    <row r="30" spans="1:17" x14ac:dyDescent="0.2">
      <c r="A30" t="s">
        <v>37</v>
      </c>
      <c r="C30" s="30">
        <v>49986.7137</v>
      </c>
      <c r="E30">
        <f t="shared" si="0"/>
        <v>8477.9929129489919</v>
      </c>
      <c r="F30">
        <f>ROUND(2*E30,0)/2</f>
        <v>8478</v>
      </c>
      <c r="G30">
        <f t="shared" si="1"/>
        <v>-6.7959999942104332E-3</v>
      </c>
      <c r="I30">
        <f>+G30</f>
        <v>-6.7959999942104332E-3</v>
      </c>
      <c r="O30">
        <f t="shared" ca="1" si="3"/>
        <v>4.8207983027346302E-3</v>
      </c>
      <c r="Q30" s="2">
        <f t="shared" si="4"/>
        <v>34968.2137</v>
      </c>
    </row>
    <row r="31" spans="1:17" x14ac:dyDescent="0.2">
      <c r="A31" t="s">
        <v>37</v>
      </c>
      <c r="C31" s="30">
        <v>50036.632400000002</v>
      </c>
      <c r="E31">
        <f t="shared" si="0"/>
        <v>8530.0494717039437</v>
      </c>
      <c r="F31">
        <f>ROUND(2*E31,0)/2</f>
        <v>8530</v>
      </c>
      <c r="G31">
        <f t="shared" si="1"/>
        <v>4.7440000009373762E-2</v>
      </c>
      <c r="I31">
        <f>+G31</f>
        <v>4.7440000009373762E-2</v>
      </c>
      <c r="O31">
        <f t="shared" ca="1" si="3"/>
        <v>3.6373384120802932E-2</v>
      </c>
      <c r="Q31" s="2">
        <f t="shared" si="4"/>
        <v>35018.132400000002</v>
      </c>
    </row>
    <row r="32" spans="1:17" x14ac:dyDescent="0.2">
      <c r="C32" s="10"/>
      <c r="D32" s="10"/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6938"/>
  <sheetViews>
    <sheetView workbookViewId="0">
      <selection activeCell="J20" sqref="J2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7.42578125" customWidth="1"/>
  </cols>
  <sheetData>
    <row r="1" spans="1:7" ht="20.25" x14ac:dyDescent="0.3">
      <c r="A1" s="1" t="s">
        <v>38</v>
      </c>
    </row>
    <row r="2" spans="1:7" x14ac:dyDescent="0.2">
      <c r="A2" t="s">
        <v>24</v>
      </c>
      <c r="B2" t="s">
        <v>39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8" t="s">
        <v>40</v>
      </c>
      <c r="D4" s="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29">
        <v>50036.621333384115</v>
      </c>
      <c r="D7" t="s">
        <v>58</v>
      </c>
    </row>
    <row r="8" spans="1:7" x14ac:dyDescent="0.2">
      <c r="A8" t="s">
        <v>3</v>
      </c>
      <c r="C8">
        <v>0.95953878049650132</v>
      </c>
      <c r="D8" s="31" t="s">
        <v>41</v>
      </c>
    </row>
    <row r="9" spans="1:7" x14ac:dyDescent="0.2">
      <c r="A9" s="11" t="s">
        <v>30</v>
      </c>
      <c r="B9" s="12"/>
      <c r="C9" s="13">
        <v>-9.5</v>
      </c>
      <c r="D9" s="12" t="s">
        <v>31</v>
      </c>
      <c r="E9" s="12"/>
    </row>
    <row r="10" spans="1:7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7" x14ac:dyDescent="0.2">
      <c r="A11" s="12" t="s">
        <v>15</v>
      </c>
      <c r="B11" s="12"/>
      <c r="C11" s="24">
        <f ca="1">INTERCEPT(INDIRECT($G$11):G990,INDIRECT($F$11):F990)</f>
        <v>-7.8964220977183265E-13</v>
      </c>
      <c r="D11" s="3"/>
      <c r="E11" s="12"/>
      <c r="F11" s="25" t="str">
        <f>"F"&amp;E19</f>
        <v>F25</v>
      </c>
      <c r="G11" s="26" t="str">
        <f>"G"&amp;E19</f>
        <v>G25</v>
      </c>
    </row>
    <row r="12" spans="1:7" x14ac:dyDescent="0.2">
      <c r="A12" s="12" t="s">
        <v>16</v>
      </c>
      <c r="B12" s="12"/>
      <c r="C12" s="24">
        <f ca="1">SLOPE(INDIRECT($G$11):G990,INDIRECT($F$11):F990)</f>
        <v>-3.6770399433044952E-15</v>
      </c>
      <c r="D12" s="3"/>
      <c r="E12" s="12"/>
    </row>
    <row r="13" spans="1:7" x14ac:dyDescent="0.2">
      <c r="A13" s="12" t="s">
        <v>19</v>
      </c>
      <c r="B13" s="12"/>
      <c r="C13" s="3" t="s">
        <v>13</v>
      </c>
      <c r="D13" s="3"/>
      <c r="E13" s="12"/>
    </row>
    <row r="14" spans="1:7" x14ac:dyDescent="0.2">
      <c r="A14" s="12"/>
      <c r="B14" s="12"/>
      <c r="C14" s="12"/>
      <c r="D14" s="12"/>
      <c r="E14" s="12"/>
    </row>
    <row r="15" spans="1:7" x14ac:dyDescent="0.2">
      <c r="A15" s="14" t="s">
        <v>17</v>
      </c>
      <c r="B15" s="12"/>
      <c r="C15" s="15">
        <f ca="1">(C7+C11)+(C8+C12)*INT(MAX(F21:F3531))</f>
        <v>50036.621333384115</v>
      </c>
      <c r="D15" s="16" t="s">
        <v>32</v>
      </c>
      <c r="E15" s="17">
        <f ca="1">TODAY()+15018.5-B9/24</f>
        <v>60368.5</v>
      </c>
    </row>
    <row r="16" spans="1:7" x14ac:dyDescent="0.2">
      <c r="A16" s="18" t="s">
        <v>4</v>
      </c>
      <c r="B16" s="12"/>
      <c r="C16" s="19">
        <f ca="1">+C8+C12</f>
        <v>0.95953878049649766</v>
      </c>
      <c r="D16" s="16" t="s">
        <v>33</v>
      </c>
      <c r="E16" s="17">
        <f ca="1">ROUND(2*(E15-C15)/C16,0)/2+1</f>
        <v>10768.5</v>
      </c>
    </row>
    <row r="17" spans="1:17" ht="13.5" thickBot="1" x14ac:dyDescent="0.25">
      <c r="A17" s="16" t="s">
        <v>29</v>
      </c>
      <c r="B17" s="12"/>
      <c r="C17" s="12">
        <f>COUNT(C21:C2189)</f>
        <v>11</v>
      </c>
      <c r="D17" s="16" t="s">
        <v>34</v>
      </c>
      <c r="E17" s="20">
        <f ca="1">+C15+C16*E16-15018.5-C9/24</f>
        <v>45351.310524493987</v>
      </c>
    </row>
    <row r="18" spans="1:17" ht="14.25" thickTop="1" thickBot="1" x14ac:dyDescent="0.25">
      <c r="A18" s="18" t="s">
        <v>5</v>
      </c>
      <c r="B18" s="12"/>
      <c r="C18" s="21">
        <f ca="1">+C15</f>
        <v>50036.621333384115</v>
      </c>
      <c r="D18" s="22">
        <f ca="1">+C16</f>
        <v>0.95953878049649766</v>
      </c>
      <c r="E18" s="23" t="s">
        <v>35</v>
      </c>
    </row>
    <row r="19" spans="1:17" ht="13.5" thickTop="1" x14ac:dyDescent="0.2">
      <c r="A19" s="27" t="s">
        <v>36</v>
      </c>
      <c r="E19" s="28">
        <v>25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95</v>
      </c>
      <c r="I20" s="7" t="s">
        <v>45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</row>
    <row r="21" spans="1:17" x14ac:dyDescent="0.2">
      <c r="A21" t="s">
        <v>37</v>
      </c>
      <c r="C21" s="30">
        <v>41856.894999999997</v>
      </c>
      <c r="E21">
        <f t="shared" ref="E21:E31" si="0">+(C21-C$7)/C$8</f>
        <v>-8524.6438180972964</v>
      </c>
      <c r="F21">
        <f t="shared" ref="F21:F28" si="1">ROUND(2*E21,0)/2</f>
        <v>-8524.5</v>
      </c>
      <c r="G21">
        <f t="shared" ref="G21:G31" si="2">+C21-(C$7+F21*C$8)</f>
        <v>-0.13799904168990906</v>
      </c>
      <c r="H21">
        <f t="shared" ref="H21:H31" si="3">+G21</f>
        <v>-0.13799904168990906</v>
      </c>
      <c r="O21">
        <f t="shared" ref="O21:O31" ca="1" si="4">+C$11+C$12*$F21</f>
        <v>3.0555284786927336E-11</v>
      </c>
      <c r="Q21" s="2">
        <f t="shared" ref="Q21:Q31" si="5">+C21-15018.5</f>
        <v>26838.394999999997</v>
      </c>
    </row>
    <row r="22" spans="1:17" x14ac:dyDescent="0.2">
      <c r="A22" t="s">
        <v>37</v>
      </c>
      <c r="C22" s="30">
        <v>41905.85</v>
      </c>
      <c r="E22">
        <f t="shared" si="0"/>
        <v>-8473.6245148705202</v>
      </c>
      <c r="F22">
        <f t="shared" si="1"/>
        <v>-8473.5</v>
      </c>
      <c r="G22">
        <f t="shared" si="2"/>
        <v>-0.11947684700862737</v>
      </c>
      <c r="H22">
        <f t="shared" si="3"/>
        <v>-0.11947684700862737</v>
      </c>
      <c r="O22">
        <f t="shared" ca="1" si="4"/>
        <v>3.0367755749818808E-11</v>
      </c>
      <c r="Q22" s="2">
        <f t="shared" si="5"/>
        <v>26887.35</v>
      </c>
    </row>
    <row r="23" spans="1:17" x14ac:dyDescent="0.2">
      <c r="A23" t="s">
        <v>37</v>
      </c>
      <c r="C23" s="30">
        <v>41955.654000000002</v>
      </c>
      <c r="E23">
        <f t="shared" si="0"/>
        <v>-8421.7204115530567</v>
      </c>
      <c r="F23">
        <f t="shared" si="1"/>
        <v>-8421.5</v>
      </c>
      <c r="G23">
        <f t="shared" si="2"/>
        <v>-0.21149343282741029</v>
      </c>
      <c r="H23">
        <f t="shared" si="3"/>
        <v>-0.21149343282741029</v>
      </c>
      <c r="O23">
        <f t="shared" ca="1" si="4"/>
        <v>3.0176549672766973E-11</v>
      </c>
      <c r="Q23" s="2">
        <f t="shared" si="5"/>
        <v>26937.154000000002</v>
      </c>
    </row>
    <row r="24" spans="1:17" x14ac:dyDescent="0.2">
      <c r="A24" t="s">
        <v>37</v>
      </c>
      <c r="C24" s="30">
        <v>41956.614999999998</v>
      </c>
      <c r="E24">
        <f t="shared" si="0"/>
        <v>-8420.7188887177854</v>
      </c>
      <c r="F24">
        <f t="shared" si="1"/>
        <v>-8420.5</v>
      </c>
      <c r="G24">
        <f t="shared" si="2"/>
        <v>-0.21003221332648536</v>
      </c>
      <c r="H24">
        <f t="shared" si="3"/>
        <v>-0.21003221332648536</v>
      </c>
      <c r="O24">
        <f t="shared" ca="1" si="4"/>
        <v>3.0172872632823672E-11</v>
      </c>
      <c r="Q24" s="2">
        <f t="shared" si="5"/>
        <v>26938.114999999998</v>
      </c>
    </row>
    <row r="25" spans="1:17" x14ac:dyDescent="0.2">
      <c r="A25" t="s">
        <v>37</v>
      </c>
      <c r="C25" s="30">
        <v>49138.952899999997</v>
      </c>
      <c r="E25">
        <f t="shared" si="0"/>
        <v>-935.52074353850639</v>
      </c>
      <c r="F25">
        <f t="shared" si="1"/>
        <v>-935.5</v>
      </c>
      <c r="G25">
        <f t="shared" si="2"/>
        <v>-1.9904229644453153E-2</v>
      </c>
      <c r="I25">
        <f>+G25</f>
        <v>-1.9904229644453153E-2</v>
      </c>
      <c r="O25">
        <f t="shared" ca="1" si="4"/>
        <v>2.6502286571895228E-12</v>
      </c>
      <c r="Q25" s="2">
        <f t="shared" si="5"/>
        <v>34120.452899999997</v>
      </c>
    </row>
    <row r="26" spans="1:17" x14ac:dyDescent="0.2">
      <c r="A26" t="s">
        <v>37</v>
      </c>
      <c r="C26" s="30">
        <v>49238.765399999997</v>
      </c>
      <c r="E26">
        <f t="shared" si="0"/>
        <v>-831.49941367797351</v>
      </c>
      <c r="F26">
        <f t="shared" si="1"/>
        <v>-831.5</v>
      </c>
      <c r="G26">
        <f t="shared" si="2"/>
        <v>5.6259872508235276E-4</v>
      </c>
      <c r="I26">
        <f>+G26</f>
        <v>5.6259872508235276E-4</v>
      </c>
      <c r="O26">
        <f t="shared" ca="1" si="4"/>
        <v>2.267816503085855E-12</v>
      </c>
      <c r="Q26" s="2">
        <f t="shared" si="5"/>
        <v>34220.265399999997</v>
      </c>
    </row>
    <row r="27" spans="1:17" x14ac:dyDescent="0.2">
      <c r="A27" t="s">
        <v>37</v>
      </c>
      <c r="C27" s="30">
        <v>49288.680800000002</v>
      </c>
      <c r="E27">
        <f t="shared" si="0"/>
        <v>-779.47921291633543</v>
      </c>
      <c r="F27">
        <f t="shared" si="1"/>
        <v>-779.5</v>
      </c>
      <c r="G27">
        <f t="shared" si="2"/>
        <v>1.9946012907894328E-2</v>
      </c>
      <c r="I27">
        <f>+G27</f>
        <v>1.9946012907894328E-2</v>
      </c>
      <c r="O27">
        <f t="shared" ca="1" si="4"/>
        <v>2.0766104260340212E-12</v>
      </c>
      <c r="Q27" s="2">
        <f t="shared" si="5"/>
        <v>34270.180800000002</v>
      </c>
    </row>
    <row r="28" spans="1:17" x14ac:dyDescent="0.2">
      <c r="A28" t="s">
        <v>37</v>
      </c>
      <c r="C28" s="30">
        <v>49338.5625</v>
      </c>
      <c r="E28">
        <f t="shared" si="0"/>
        <v>-727.49413319481823</v>
      </c>
      <c r="F28">
        <f t="shared" si="1"/>
        <v>-727.5</v>
      </c>
      <c r="G28">
        <f t="shared" si="2"/>
        <v>5.6294270907528698E-3</v>
      </c>
      <c r="I28">
        <f>+G28</f>
        <v>5.6294270907528698E-3</v>
      </c>
      <c r="O28">
        <f t="shared" ca="1" si="4"/>
        <v>1.8854043489821875E-12</v>
      </c>
      <c r="Q28" s="2">
        <f t="shared" si="5"/>
        <v>34320.0625</v>
      </c>
    </row>
    <row r="29" spans="1:17" x14ac:dyDescent="0.2">
      <c r="A29" t="s">
        <v>37</v>
      </c>
      <c r="C29" s="30">
        <v>49886.927600000003</v>
      </c>
      <c r="E29">
        <f t="shared" si="0"/>
        <v>-156.00592329020333</v>
      </c>
      <c r="F29">
        <f>ROUND(2*E29,0)/2</f>
        <v>-156</v>
      </c>
      <c r="G29">
        <f t="shared" si="2"/>
        <v>-5.6836266594473273E-3</v>
      </c>
      <c r="I29">
        <f>+G29</f>
        <v>-5.6836266594473273E-3</v>
      </c>
      <c r="O29">
        <f t="shared" ca="1" si="4"/>
        <v>-2.1602397861633135E-13</v>
      </c>
      <c r="Q29" s="2">
        <f t="shared" si="5"/>
        <v>34868.427600000003</v>
      </c>
    </row>
    <row r="30" spans="1:17" x14ac:dyDescent="0.2">
      <c r="A30" t="s">
        <v>37</v>
      </c>
      <c r="C30" s="30">
        <v>49986.7137</v>
      </c>
      <c r="E30">
        <f t="shared" si="0"/>
        <v>-52.012106648040643</v>
      </c>
      <c r="F30">
        <f>ROUND(2*E30,0)/2</f>
        <v>-52</v>
      </c>
      <c r="G30">
        <f t="shared" si="2"/>
        <v>-1.1616798299655784E-2</v>
      </c>
      <c r="I30">
        <f>+G30</f>
        <v>-1.1616798299655784E-2</v>
      </c>
      <c r="O30">
        <f t="shared" ca="1" si="4"/>
        <v>-5.9843613271999891E-13</v>
      </c>
      <c r="Q30" s="2">
        <f t="shared" si="5"/>
        <v>34968.2137</v>
      </c>
    </row>
    <row r="31" spans="1:17" x14ac:dyDescent="0.2">
      <c r="A31" t="s">
        <v>58</v>
      </c>
      <c r="C31" s="30">
        <v>50036.632400000002</v>
      </c>
      <c r="E31">
        <f t="shared" si="0"/>
        <v>1.15332658898647E-2</v>
      </c>
      <c r="F31">
        <f>ROUND(2*E31,0)/2</f>
        <v>0</v>
      </c>
      <c r="G31">
        <f t="shared" si="2"/>
        <v>1.1066615887102671E-2</v>
      </c>
      <c r="I31">
        <f>+G31</f>
        <v>1.1066615887102671E-2</v>
      </c>
      <c r="O31">
        <f t="shared" ca="1" si="4"/>
        <v>-7.8964220977183265E-13</v>
      </c>
      <c r="Q31" s="2">
        <f t="shared" si="5"/>
        <v>35018.132400000002</v>
      </c>
    </row>
    <row r="32" spans="1:17" x14ac:dyDescent="0.2">
      <c r="C32" s="10"/>
      <c r="D32" s="10"/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6938"/>
  <sheetViews>
    <sheetView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H24" sqref="H24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7.42578125" customWidth="1"/>
  </cols>
  <sheetData>
    <row r="1" spans="1:7" ht="20.25" x14ac:dyDescent="0.3">
      <c r="A1" s="1" t="s">
        <v>92</v>
      </c>
    </row>
    <row r="2" spans="1:7" ht="12.95" customHeight="1" x14ac:dyDescent="0.2">
      <c r="A2" t="s">
        <v>24</v>
      </c>
      <c r="B2" t="s">
        <v>39</v>
      </c>
      <c r="C2" s="3"/>
      <c r="D2" s="3"/>
    </row>
    <row r="3" spans="1:7" ht="12.95" customHeight="1" thickBot="1" x14ac:dyDescent="0.25"/>
    <row r="4" spans="1:7" ht="12.95" customHeight="1" thickTop="1" thickBot="1" x14ac:dyDescent="0.25">
      <c r="A4" s="5" t="s">
        <v>0</v>
      </c>
      <c r="C4" s="8" t="s">
        <v>40</v>
      </c>
      <c r="D4" s="9" t="s">
        <v>40</v>
      </c>
    </row>
    <row r="5" spans="1:7" ht="12.95" customHeight="1" x14ac:dyDescent="0.2"/>
    <row r="6" spans="1:7" ht="12.95" customHeight="1" x14ac:dyDescent="0.2">
      <c r="A6" s="5" t="s">
        <v>1</v>
      </c>
    </row>
    <row r="7" spans="1:7" ht="12.95" customHeight="1" x14ac:dyDescent="0.2">
      <c r="A7" t="s">
        <v>2</v>
      </c>
      <c r="C7" s="29">
        <v>50036.621333384115</v>
      </c>
      <c r="D7" t="s">
        <v>58</v>
      </c>
    </row>
    <row r="8" spans="1:7" ht="12.95" customHeight="1" x14ac:dyDescent="0.2">
      <c r="A8" t="s">
        <v>3</v>
      </c>
      <c r="C8">
        <v>99.763800000000003</v>
      </c>
      <c r="D8" s="31"/>
    </row>
    <row r="9" spans="1:7" ht="12.95" customHeight="1" x14ac:dyDescent="0.2">
      <c r="A9" s="11" t="s">
        <v>30</v>
      </c>
      <c r="B9" s="12"/>
      <c r="C9" s="13">
        <v>-9.5</v>
      </c>
      <c r="D9" s="12" t="s">
        <v>31</v>
      </c>
      <c r="E9" s="12"/>
    </row>
    <row r="10" spans="1:7" ht="12.95" customHeight="1" thickBot="1" x14ac:dyDescent="0.25">
      <c r="A10" s="12"/>
      <c r="B10" s="12"/>
      <c r="C10" s="4" t="s">
        <v>20</v>
      </c>
      <c r="D10" s="4" t="s">
        <v>21</v>
      </c>
      <c r="E10" s="12"/>
    </row>
    <row r="11" spans="1:7" ht="12.95" customHeight="1" x14ac:dyDescent="0.2">
      <c r="A11" s="12" t="s">
        <v>15</v>
      </c>
      <c r="B11" s="12"/>
      <c r="C11" s="24">
        <f ca="1">INTERCEPT(INDIRECT($G$11):G990,INDIRECT($F$11):F990)</f>
        <v>-2.3596331781912394E-2</v>
      </c>
      <c r="D11" s="3"/>
      <c r="E11" s="12"/>
      <c r="F11" s="25" t="str">
        <f>"F"&amp;E19</f>
        <v>F25</v>
      </c>
      <c r="G11" s="26" t="str">
        <f>"G"&amp;E19</f>
        <v>G25</v>
      </c>
    </row>
    <row r="12" spans="1:7" ht="12.95" customHeight="1" x14ac:dyDescent="0.2">
      <c r="A12" s="12" t="s">
        <v>16</v>
      </c>
      <c r="B12" s="12"/>
      <c r="C12" s="24">
        <f ca="1">SLOPE(INDIRECT($G$11):G990,INDIRECT($F$11):F990)</f>
        <v>-3.4687670610197216E-2</v>
      </c>
      <c r="D12" s="3"/>
      <c r="E12" s="12"/>
    </row>
    <row r="13" spans="1:7" ht="12.95" customHeight="1" x14ac:dyDescent="0.2">
      <c r="A13" s="12" t="s">
        <v>19</v>
      </c>
      <c r="B13" s="12"/>
      <c r="C13" s="3" t="s">
        <v>13</v>
      </c>
      <c r="D13" s="3"/>
      <c r="E13" s="12"/>
    </row>
    <row r="14" spans="1:7" ht="12.95" customHeight="1" x14ac:dyDescent="0.2">
      <c r="A14" s="12"/>
      <c r="B14" s="12"/>
      <c r="C14" s="12"/>
      <c r="D14" s="12"/>
      <c r="E14" s="12"/>
    </row>
    <row r="15" spans="1:7" ht="12.95" customHeight="1" x14ac:dyDescent="0.2">
      <c r="A15" s="14" t="s">
        <v>17</v>
      </c>
      <c r="B15" s="12"/>
      <c r="C15" s="15">
        <f ca="1">(C7+C11)+(C8+C12)*INT(MAX(F21:F3531))</f>
        <v>50036.597737052332</v>
      </c>
      <c r="D15" s="16" t="s">
        <v>32</v>
      </c>
      <c r="E15" s="17">
        <f ca="1">TODAY()+15018.5-B9/24</f>
        <v>60368.5</v>
      </c>
    </row>
    <row r="16" spans="1:7" ht="12.95" customHeight="1" x14ac:dyDescent="0.2">
      <c r="A16" s="18" t="s">
        <v>4</v>
      </c>
      <c r="B16" s="12"/>
      <c r="C16" s="19">
        <f ca="1">+C8+C12</f>
        <v>99.729112329389807</v>
      </c>
      <c r="D16" s="16" t="s">
        <v>33</v>
      </c>
      <c r="E16" s="17">
        <f ca="1">ROUND(2*(E15-C15)/C16,0)/2+1</f>
        <v>104.5</v>
      </c>
    </row>
    <row r="17" spans="1:17" ht="12.95" customHeight="1" thickBot="1" x14ac:dyDescent="0.25">
      <c r="A17" s="16" t="s">
        <v>29</v>
      </c>
      <c r="B17" s="12"/>
      <c r="C17" s="12">
        <f>COUNT(C21:C2189)</f>
        <v>12</v>
      </c>
      <c r="D17" s="16" t="s">
        <v>34</v>
      </c>
      <c r="E17" s="20">
        <f ca="1">+C15+C16*E16-15018.5-C9/24</f>
        <v>45440.185808806906</v>
      </c>
    </row>
    <row r="18" spans="1:17" ht="12.95" customHeight="1" thickTop="1" thickBot="1" x14ac:dyDescent="0.25">
      <c r="A18" s="18" t="s">
        <v>5</v>
      </c>
      <c r="B18" s="12"/>
      <c r="C18" s="21">
        <f ca="1">+C15</f>
        <v>50036.597737052332</v>
      </c>
      <c r="D18" s="22">
        <f ca="1">+C16</f>
        <v>99.729112329389807</v>
      </c>
      <c r="E18" s="23" t="s">
        <v>35</v>
      </c>
    </row>
    <row r="19" spans="1:17" ht="12.95" customHeight="1" thickTop="1" x14ac:dyDescent="0.2">
      <c r="A19" s="27" t="s">
        <v>36</v>
      </c>
      <c r="E19" s="28">
        <v>25</v>
      </c>
    </row>
    <row r="20" spans="1:17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53</v>
      </c>
      <c r="I20" s="7" t="s">
        <v>45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</row>
    <row r="21" spans="1:17" ht="12.95" customHeight="1" x14ac:dyDescent="0.2">
      <c r="A21" t="s">
        <v>37</v>
      </c>
      <c r="C21" s="30">
        <v>41856.894999999997</v>
      </c>
      <c r="E21">
        <f>+(C21-C$7)/C$8</f>
        <v>-81.990925900818908</v>
      </c>
      <c r="F21">
        <f>ROUND(2*E21,0)/2</f>
        <v>-82</v>
      </c>
      <c r="G21">
        <f>+C21-(C$7+F21*C$8)</f>
        <v>0.90526661588228308</v>
      </c>
      <c r="H21">
        <f>+G21</f>
        <v>0.90526661588228308</v>
      </c>
      <c r="O21">
        <f ca="1">+C$11+C$12*$F21</f>
        <v>2.8207926582542591</v>
      </c>
      <c r="Q21" s="2">
        <f>+C21-15018.5</f>
        <v>26838.394999999997</v>
      </c>
    </row>
    <row r="22" spans="1:17" ht="12.95" customHeight="1" x14ac:dyDescent="0.2">
      <c r="A22" t="s">
        <v>37</v>
      </c>
      <c r="C22" s="30">
        <v>41905.85</v>
      </c>
      <c r="E22">
        <f>+(C22-C$7)/C$8</f>
        <v>-81.500216846031492</v>
      </c>
      <c r="F22">
        <f>ROUND(2*E22,0)/2</f>
        <v>-81.5</v>
      </c>
      <c r="G22">
        <f>+C22-(C$7+F22*C$8)</f>
        <v>-2.1633384116285015E-2</v>
      </c>
      <c r="H22">
        <f>+G22</f>
        <v>-2.1633384116285015E-2</v>
      </c>
      <c r="O22">
        <f ca="1">+C$11+C$12*$F22</f>
        <v>2.8034488229491608</v>
      </c>
      <c r="Q22" s="2">
        <f>+C22-15018.5</f>
        <v>26887.35</v>
      </c>
    </row>
    <row r="23" spans="1:17" ht="12.95" customHeight="1" x14ac:dyDescent="0.2">
      <c r="A23" t="s">
        <v>37</v>
      </c>
      <c r="C23" s="30">
        <v>41955.654000000002</v>
      </c>
      <c r="E23">
        <f>+(C23-C$7)/C$8</f>
        <v>-81.000997690385816</v>
      </c>
      <c r="F23">
        <f>ROUND(2*E23,0)/2</f>
        <v>-81</v>
      </c>
      <c r="G23">
        <f>+C23-(C$7+F23*C$8)</f>
        <v>-9.9533384112874046E-2</v>
      </c>
      <c r="H23">
        <f>+G23</f>
        <v>-9.9533384112874046E-2</v>
      </c>
      <c r="O23">
        <f ca="1">+C$11+C$12*$F23</f>
        <v>2.786104987644062</v>
      </c>
      <c r="Q23" s="2">
        <f>+C23-15018.5</f>
        <v>26937.154000000002</v>
      </c>
    </row>
    <row r="24" spans="1:17" ht="12.95" customHeight="1" x14ac:dyDescent="0.2">
      <c r="A24" t="s">
        <v>37</v>
      </c>
      <c r="C24" s="30">
        <v>41956.614999999998</v>
      </c>
      <c r="E24">
        <f>+(C24-C$7)/C$8</f>
        <v>-80.991364937824315</v>
      </c>
      <c r="F24">
        <f>ROUND(2*E24,0)/2</f>
        <v>-81</v>
      </c>
      <c r="G24">
        <f>+C24-(C$7+F24*C$8)</f>
        <v>0.86146661588281859</v>
      </c>
      <c r="H24">
        <f>+G24</f>
        <v>0.86146661588281859</v>
      </c>
      <c r="O24">
        <f ca="1">+C$11+C$12*$F24</f>
        <v>2.786104987644062</v>
      </c>
      <c r="Q24" s="2">
        <f>+C24-15018.5</f>
        <v>26938.114999999998</v>
      </c>
    </row>
    <row r="25" spans="1:17" ht="12.95" customHeight="1" x14ac:dyDescent="0.2">
      <c r="A25" t="s">
        <v>37</v>
      </c>
      <c r="C25" s="30">
        <v>49138.952899999997</v>
      </c>
      <c r="E25">
        <f>+(C25-C$7)/C$8</f>
        <v>-8.9979374621267283</v>
      </c>
      <c r="F25">
        <f>ROUND(2*E25,0)/2</f>
        <v>-9</v>
      </c>
      <c r="G25">
        <f>+C25-(C$7+F25*C$8)</f>
        <v>0.20576661587983835</v>
      </c>
      <c r="I25">
        <f>+G25</f>
        <v>0.20576661587983835</v>
      </c>
      <c r="O25">
        <f ca="1">+C$11+C$12*$F25</f>
        <v>0.28859270370986256</v>
      </c>
      <c r="Q25" s="2">
        <f>+C25-15018.5</f>
        <v>34120.452899999997</v>
      </c>
    </row>
    <row r="26" spans="1:17" ht="12.95" customHeight="1" x14ac:dyDescent="0.2">
      <c r="A26" t="s">
        <v>37</v>
      </c>
      <c r="C26" s="30">
        <v>49238.765399999997</v>
      </c>
      <c r="E26">
        <f>+(C26-C$7)/C$8</f>
        <v>-7.9974493091093013</v>
      </c>
      <c r="F26">
        <f>ROUND(2*E26,0)/2</f>
        <v>-8</v>
      </c>
      <c r="G26">
        <f>+C26-(C$7+F26*C$8)</f>
        <v>0.25446661587920971</v>
      </c>
      <c r="I26">
        <f>+G26</f>
        <v>0.25446661587920971</v>
      </c>
      <c r="O26">
        <f ca="1">+C$11+C$12*$F26</f>
        <v>0.25390503309966533</v>
      </c>
      <c r="Q26" s="2">
        <f>+C26-15018.5</f>
        <v>34220.265399999997</v>
      </c>
    </row>
    <row r="27" spans="1:17" ht="12.95" customHeight="1" x14ac:dyDescent="0.2">
      <c r="A27" t="s">
        <v>37</v>
      </c>
      <c r="C27" s="30">
        <v>49288.680800000002</v>
      </c>
      <c r="E27">
        <f>+(C27-C$7)/C$8</f>
        <v>-7.4971135159658431</v>
      </c>
      <c r="F27">
        <f>ROUND(2*E27,0)/2</f>
        <v>-7.5</v>
      </c>
      <c r="G27">
        <f>+C27-(C$7+F27*C$8)</f>
        <v>0.28796661588421557</v>
      </c>
      <c r="I27">
        <f>+G27</f>
        <v>0.28796661588421557</v>
      </c>
      <c r="O27">
        <f ca="1">+C$11+C$12*$F27</f>
        <v>0.23656119779456675</v>
      </c>
      <c r="Q27" s="2">
        <f>+C27-15018.5</f>
        <v>34270.180800000002</v>
      </c>
    </row>
    <row r="28" spans="1:17" ht="12.95" customHeight="1" x14ac:dyDescent="0.2">
      <c r="A28" t="s">
        <v>37</v>
      </c>
      <c r="C28" s="30">
        <v>49338.5625</v>
      </c>
      <c r="E28">
        <f>+(C28-C$7)/C$8</f>
        <v>-6.9971155207010467</v>
      </c>
      <c r="F28">
        <f>ROUND(2*E28,0)/2</f>
        <v>-7</v>
      </c>
      <c r="G28">
        <f>+C28-(C$7+F28*C$8)</f>
        <v>0.28776661588199204</v>
      </c>
      <c r="I28">
        <f>+G28</f>
        <v>0.28776661588199204</v>
      </c>
      <c r="O28">
        <f ca="1">+C$11+C$12*$F28</f>
        <v>0.2192173624894681</v>
      </c>
      <c r="Q28" s="2">
        <f>+C28-15018.5</f>
        <v>34320.0625</v>
      </c>
    </row>
    <row r="29" spans="1:17" ht="12.95" customHeight="1" x14ac:dyDescent="0.2">
      <c r="A29" t="s">
        <v>37</v>
      </c>
      <c r="C29" s="30">
        <v>49886.927600000003</v>
      </c>
      <c r="E29">
        <f>+(C29-C$7)/C$8</f>
        <v>-1.5004814710758052</v>
      </c>
      <c r="F29">
        <f>ROUND(2*E29,0)/2</f>
        <v>-1.5</v>
      </c>
      <c r="G29">
        <f>+C29-(C$7+F29*C$8)</f>
        <v>-4.8033384111477062E-2</v>
      </c>
      <c r="I29">
        <f>+G29</f>
        <v>-4.8033384111477062E-2</v>
      </c>
      <c r="O29">
        <f ca="1">+C$11+C$12*$F29</f>
        <v>2.843517413338343E-2</v>
      </c>
      <c r="Q29" s="2">
        <f>+C29-15018.5</f>
        <v>34868.427600000003</v>
      </c>
    </row>
    <row r="30" spans="1:17" x14ac:dyDescent="0.2">
      <c r="A30" t="s">
        <v>37</v>
      </c>
      <c r="C30" s="30">
        <v>49986.7137</v>
      </c>
      <c r="E30">
        <f>+(C30-C$7)/C$8</f>
        <v>-0.50025794310275762</v>
      </c>
      <c r="F30">
        <f>ROUND(2*E30,0)/2</f>
        <v>-0.5</v>
      </c>
      <c r="G30">
        <f>+C30-(C$7+F30*C$8)</f>
        <v>-2.573338411457371E-2</v>
      </c>
      <c r="I30">
        <f>+G30</f>
        <v>-2.573338411457371E-2</v>
      </c>
      <c r="O30">
        <f ca="1">+C$11+C$12*$F30</f>
        <v>-6.2524964768137861E-3</v>
      </c>
      <c r="Q30" s="2">
        <f>+C30-15018.5</f>
        <v>34968.2137</v>
      </c>
    </row>
    <row r="31" spans="1:17" x14ac:dyDescent="0.2">
      <c r="A31" t="str">
        <f>$D$7</f>
        <v>?</v>
      </c>
      <c r="C31" s="10">
        <f>$C$7</f>
        <v>50036.621333384115</v>
      </c>
      <c r="D31" s="10"/>
      <c r="E31">
        <f>+(C31-C$7)/C$8</f>
        <v>0</v>
      </c>
      <c r="F31">
        <f>ROUND(2*E31,0)/2</f>
        <v>0</v>
      </c>
      <c r="G31">
        <f>+C31-(C$7+F31*C$8)</f>
        <v>0</v>
      </c>
      <c r="I31">
        <f>+G31</f>
        <v>0</v>
      </c>
      <c r="O31">
        <f ca="1">+C$11+C$12*$F31</f>
        <v>-2.3596331781912394E-2</v>
      </c>
      <c r="Q31" s="2">
        <f>+C31-15018.5</f>
        <v>35018.121333384115</v>
      </c>
    </row>
    <row r="32" spans="1:17" x14ac:dyDescent="0.2">
      <c r="A32" t="s">
        <v>37</v>
      </c>
      <c r="C32" s="30">
        <v>50036.632400000002</v>
      </c>
      <c r="E32">
        <f>+(C32-C$7)/C$8</f>
        <v>1.109281712114281E-4</v>
      </c>
      <c r="F32">
        <f>ROUND(2*E32,0)/2</f>
        <v>0</v>
      </c>
      <c r="G32">
        <f>+C32-(C$7+F32*C$8)</f>
        <v>1.1066615887102671E-2</v>
      </c>
      <c r="I32">
        <f>+G32</f>
        <v>1.1066615887102671E-2</v>
      </c>
      <c r="O32">
        <f ca="1">+C$11+C$12*$F32</f>
        <v>-2.3596331781912394E-2</v>
      </c>
      <c r="Q32" s="2">
        <f>+C32-15018.5</f>
        <v>35018.132400000002</v>
      </c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</sheetData>
  <sortState xmlns:xlrd2="http://schemas.microsoft.com/office/spreadsheetml/2017/richdata2" ref="A21:S38">
    <sortCondition ref="C21:C38"/>
  </sortState>
  <phoneticPr fontId="7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6938"/>
  <sheetViews>
    <sheetView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A24" sqref="A24:XFD24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7.42578125" customWidth="1"/>
  </cols>
  <sheetData>
    <row r="1" spans="1:6" ht="20.25" x14ac:dyDescent="0.3">
      <c r="A1" s="1" t="s">
        <v>42</v>
      </c>
    </row>
    <row r="2" spans="1:6" ht="12.95" customHeight="1" x14ac:dyDescent="0.2">
      <c r="A2" t="s">
        <v>24</v>
      </c>
      <c r="C2" s="3"/>
      <c r="D2" s="3"/>
    </row>
    <row r="3" spans="1:6" ht="12.95" customHeight="1" thickBot="1" x14ac:dyDescent="0.25"/>
    <row r="4" spans="1:6" ht="12.95" customHeight="1" thickTop="1" thickBot="1" x14ac:dyDescent="0.25">
      <c r="A4" s="5" t="s">
        <v>0</v>
      </c>
      <c r="C4" s="8" t="s">
        <v>40</v>
      </c>
      <c r="D4" s="9" t="s">
        <v>40</v>
      </c>
    </row>
    <row r="5" spans="1:6" ht="12.95" customHeight="1" thickTop="1" x14ac:dyDescent="0.2">
      <c r="A5" s="11" t="s">
        <v>30</v>
      </c>
      <c r="B5" s="12"/>
      <c r="C5" s="13">
        <v>-9.5</v>
      </c>
      <c r="D5" s="12" t="s">
        <v>31</v>
      </c>
    </row>
    <row r="6" spans="1:6" ht="12.95" customHeight="1" x14ac:dyDescent="0.2">
      <c r="A6" s="5" t="s">
        <v>1</v>
      </c>
    </row>
    <row r="7" spans="1:6" ht="12.95" customHeight="1" x14ac:dyDescent="0.2">
      <c r="A7" t="s">
        <v>2</v>
      </c>
      <c r="C7" s="29">
        <v>41856.894999999997</v>
      </c>
    </row>
    <row r="8" spans="1:6" ht="12.95" customHeight="1" x14ac:dyDescent="0.2">
      <c r="A8" t="s">
        <v>3</v>
      </c>
      <c r="C8" s="44">
        <v>99.763800000000003</v>
      </c>
    </row>
    <row r="9" spans="1:6" ht="12.95" customHeight="1" x14ac:dyDescent="0.2">
      <c r="A9" s="27" t="s">
        <v>36</v>
      </c>
      <c r="B9" s="28">
        <v>29</v>
      </c>
      <c r="C9" s="25" t="str">
        <f>"F"&amp;B9</f>
        <v>F29</v>
      </c>
      <c r="D9" s="26" t="str">
        <f>"G"&amp;B9</f>
        <v>G29</v>
      </c>
    </row>
    <row r="10" spans="1:6" ht="12.95" customHeight="1" thickBot="1" x14ac:dyDescent="0.25">
      <c r="A10" s="12"/>
      <c r="B10" s="12"/>
      <c r="C10" s="4" t="s">
        <v>20</v>
      </c>
      <c r="D10" s="4" t="s">
        <v>21</v>
      </c>
      <c r="E10" s="12"/>
    </row>
    <row r="11" spans="1:6" ht="12.95" customHeight="1" x14ac:dyDescent="0.2">
      <c r="A11" s="12" t="s">
        <v>15</v>
      </c>
      <c r="B11" s="12"/>
      <c r="C11" s="24">
        <f ca="1">INTERCEPT(INDIRECT($D$9):G990,INDIRECT($C$9):F990)</f>
        <v>-3.9320142856075631</v>
      </c>
      <c r="D11" s="3"/>
      <c r="E11" s="12"/>
    </row>
    <row r="12" spans="1:6" ht="12.95" customHeight="1" x14ac:dyDescent="0.2">
      <c r="A12" s="12" t="s">
        <v>16</v>
      </c>
      <c r="B12" s="12"/>
      <c r="C12" s="24">
        <f ca="1">SLOPE(INDIRECT($D$9):G990,INDIRECT($C$9):F990)</f>
        <v>3.69571428558889E-2</v>
      </c>
      <c r="D12" s="3"/>
      <c r="E12" s="12"/>
    </row>
    <row r="13" spans="1:6" ht="12.95" customHeight="1" x14ac:dyDescent="0.2">
      <c r="A13" s="12" t="s">
        <v>19</v>
      </c>
      <c r="B13" s="12"/>
      <c r="C13" s="3" t="s">
        <v>13</v>
      </c>
    </row>
    <row r="14" spans="1:6" ht="12.95" customHeight="1" x14ac:dyDescent="0.2">
      <c r="A14" s="12"/>
      <c r="B14" s="12"/>
      <c r="C14" s="12"/>
    </row>
    <row r="15" spans="1:6" ht="12.95" customHeight="1" x14ac:dyDescent="0.2">
      <c r="A15" s="14" t="s">
        <v>17</v>
      </c>
      <c r="B15" s="12"/>
      <c r="C15" s="15">
        <f ca="1">(C7+C11)+(C8+C12)*INT(MAX(F21:F3531))</f>
        <v>50036.625071428571</v>
      </c>
      <c r="E15" s="3"/>
      <c r="F15" s="12"/>
    </row>
    <row r="16" spans="1:6" ht="12.95" customHeight="1" x14ac:dyDescent="0.2">
      <c r="A16" s="18" t="s">
        <v>4</v>
      </c>
      <c r="B16" s="12"/>
      <c r="C16" s="19">
        <f ca="1">+C8+C12</f>
        <v>99.800757142855886</v>
      </c>
      <c r="E16" s="12"/>
      <c r="F16" s="12"/>
    </row>
    <row r="17" spans="1:18" ht="12.95" customHeight="1" thickBot="1" x14ac:dyDescent="0.25">
      <c r="A17" s="16" t="s">
        <v>29</v>
      </c>
      <c r="B17" s="12"/>
      <c r="C17" s="12">
        <f>COUNT(C21:C2189)</f>
        <v>11</v>
      </c>
      <c r="E17" s="16" t="s">
        <v>32</v>
      </c>
      <c r="F17" s="17">
        <f ca="1">TODAY()+15018.5-B5/24</f>
        <v>60368.5</v>
      </c>
    </row>
    <row r="18" spans="1:18" ht="12.95" customHeight="1" thickTop="1" thickBot="1" x14ac:dyDescent="0.25">
      <c r="A18" s="18" t="s">
        <v>5</v>
      </c>
      <c r="B18" s="12"/>
      <c r="C18" s="21">
        <f ca="1">+C15</f>
        <v>50036.625071428571</v>
      </c>
      <c r="D18" s="22">
        <f ca="1">+C16</f>
        <v>99.800757142855886</v>
      </c>
      <c r="E18" s="16" t="s">
        <v>33</v>
      </c>
      <c r="F18" s="17">
        <f ca="1">ROUND(2*(F17-C15)/C16,0)/2+1</f>
        <v>104.5</v>
      </c>
    </row>
    <row r="19" spans="1:18" ht="12.95" customHeight="1" thickTop="1" x14ac:dyDescent="0.2">
      <c r="E19" s="16" t="s">
        <v>34</v>
      </c>
      <c r="F19" s="20">
        <f ca="1">+C15+C16*F18-15018.5-C5/24</f>
        <v>45447.700026190345</v>
      </c>
      <c r="R19">
        <f ca="1">SQRT(SUM(R21:R31)/11)</f>
        <v>2.1054215245379511</v>
      </c>
    </row>
    <row r="20" spans="1:18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50</v>
      </c>
      <c r="I20" s="7" t="s">
        <v>53</v>
      </c>
      <c r="J20" s="7" t="s">
        <v>47</v>
      </c>
      <c r="K20" s="7" t="s">
        <v>45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</row>
    <row r="21" spans="1:18" ht="12.95" customHeight="1" x14ac:dyDescent="0.2">
      <c r="A21" t="s">
        <v>37</v>
      </c>
      <c r="C21" s="30">
        <v>41856.894999999997</v>
      </c>
      <c r="E21">
        <f t="shared" ref="E21:E31" si="0">+(C21-C$7)/C$8</f>
        <v>0</v>
      </c>
      <c r="F21">
        <f t="shared" ref="F21:F31" si="1">ROUND(2*E21,0)/2</f>
        <v>0</v>
      </c>
      <c r="G21">
        <f t="shared" ref="G21:G31" si="2">+C21-(C$7+F21*C$8)</f>
        <v>0</v>
      </c>
      <c r="I21">
        <f>+G21</f>
        <v>0</v>
      </c>
      <c r="O21">
        <f t="shared" ref="O21:O31" ca="1" si="3">+C$11+C$12*$F21</f>
        <v>-3.9320142856075631</v>
      </c>
      <c r="Q21" s="2">
        <f t="shared" ref="Q21:Q31" si="4">+C21-15018.5</f>
        <v>26838.394999999997</v>
      </c>
      <c r="R21">
        <f ca="1">(O21-G21)^2</f>
        <v>15.460736342221955</v>
      </c>
    </row>
    <row r="22" spans="1:18" ht="12.95" customHeight="1" x14ac:dyDescent="0.2">
      <c r="A22" t="s">
        <v>37</v>
      </c>
      <c r="C22" s="30">
        <v>41905.85</v>
      </c>
      <c r="E22">
        <f t="shared" si="0"/>
        <v>0.49070905478742533</v>
      </c>
      <c r="F22">
        <f t="shared" si="1"/>
        <v>0.5</v>
      </c>
      <c r="G22">
        <f t="shared" si="2"/>
        <v>-0.92689999999856809</v>
      </c>
      <c r="I22">
        <f>+G22</f>
        <v>-0.92689999999856809</v>
      </c>
      <c r="O22">
        <f t="shared" ca="1" si="3"/>
        <v>-3.9135357141796185</v>
      </c>
      <c r="Q22" s="2">
        <f t="shared" si="4"/>
        <v>26887.35</v>
      </c>
      <c r="R22">
        <f t="shared" ref="R22:R31" ca="1" si="5">(O22-G22)^2</f>
        <v>8.9199928892217528</v>
      </c>
    </row>
    <row r="23" spans="1:18" ht="12.95" customHeight="1" x14ac:dyDescent="0.2">
      <c r="A23" t="s">
        <v>37</v>
      </c>
      <c r="C23" s="30">
        <v>41955.654000000002</v>
      </c>
      <c r="E23">
        <f t="shared" si="0"/>
        <v>0.98992821043309764</v>
      </c>
      <c r="F23">
        <f t="shared" si="1"/>
        <v>1</v>
      </c>
      <c r="G23">
        <f t="shared" si="2"/>
        <v>-1.0047999999951571</v>
      </c>
      <c r="I23">
        <f>+G23</f>
        <v>-1.0047999999951571</v>
      </c>
      <c r="O23">
        <f t="shared" ca="1" si="3"/>
        <v>-3.895057142751674</v>
      </c>
      <c r="Q23" s="2">
        <f t="shared" si="4"/>
        <v>26937.154000000002</v>
      </c>
      <c r="R23">
        <f t="shared" ca="1" si="5"/>
        <v>8.3535863512550641</v>
      </c>
    </row>
    <row r="24" spans="1:18" ht="12.95" customHeight="1" x14ac:dyDescent="0.2">
      <c r="A24" t="s">
        <v>37</v>
      </c>
      <c r="C24" s="30">
        <v>41956.614999999998</v>
      </c>
      <c r="E24">
        <f t="shared" si="0"/>
        <v>0.99956096299460484</v>
      </c>
      <c r="F24">
        <f t="shared" si="1"/>
        <v>1</v>
      </c>
      <c r="G24">
        <f t="shared" si="2"/>
        <v>-4.379999999946449E-2</v>
      </c>
      <c r="I24">
        <f>+G24</f>
        <v>-4.379999999946449E-2</v>
      </c>
      <c r="O24">
        <f t="shared" ca="1" si="3"/>
        <v>-3.895057142751674</v>
      </c>
      <c r="Q24" s="2">
        <f t="shared" si="4"/>
        <v>26938.114999999998</v>
      </c>
      <c r="R24">
        <f t="shared" ca="1" si="5"/>
        <v>14.832181579599913</v>
      </c>
    </row>
    <row r="25" spans="1:18" ht="12.95" customHeight="1" x14ac:dyDescent="0.2">
      <c r="A25" t="s">
        <v>37</v>
      </c>
      <c r="C25" s="30">
        <v>49138.952899999997</v>
      </c>
      <c r="E25">
        <f t="shared" si="0"/>
        <v>72.99298843869218</v>
      </c>
      <c r="F25">
        <f t="shared" si="1"/>
        <v>73</v>
      </c>
      <c r="G25">
        <f t="shared" si="2"/>
        <v>-0.69950000000244472</v>
      </c>
      <c r="J25">
        <f t="shared" ref="J25:J31" si="6">+G25</f>
        <v>-0.69950000000244472</v>
      </c>
      <c r="O25">
        <f t="shared" ca="1" si="3"/>
        <v>-1.2341428571276736</v>
      </c>
      <c r="Q25" s="2">
        <f t="shared" si="4"/>
        <v>34120.452899999997</v>
      </c>
      <c r="R25">
        <f t="shared" ca="1" si="5"/>
        <v>0.28584298467502789</v>
      </c>
    </row>
    <row r="26" spans="1:18" ht="12.95" customHeight="1" x14ac:dyDescent="0.2">
      <c r="A26" t="s">
        <v>37</v>
      </c>
      <c r="C26" s="30">
        <v>49238.765399999997</v>
      </c>
      <c r="E26">
        <f t="shared" si="0"/>
        <v>73.993476591709609</v>
      </c>
      <c r="F26">
        <f t="shared" si="1"/>
        <v>74</v>
      </c>
      <c r="G26">
        <f t="shared" si="2"/>
        <v>-0.65080000000307336</v>
      </c>
      <c r="J26">
        <f t="shared" si="6"/>
        <v>-0.65080000000307336</v>
      </c>
      <c r="O26">
        <f t="shared" ca="1" si="3"/>
        <v>-1.1971857142717846</v>
      </c>
      <c r="Q26" s="2">
        <f t="shared" si="4"/>
        <v>34220.265399999997</v>
      </c>
      <c r="R26">
        <f t="shared" ca="1" si="5"/>
        <v>0.29853734875692972</v>
      </c>
    </row>
    <row r="27" spans="1:18" ht="12.95" customHeight="1" x14ac:dyDescent="0.2">
      <c r="A27" t="s">
        <v>37</v>
      </c>
      <c r="C27" s="30">
        <v>49288.680800000002</v>
      </c>
      <c r="E27">
        <f t="shared" si="0"/>
        <v>74.493812384853072</v>
      </c>
      <c r="F27">
        <f t="shared" si="1"/>
        <v>74.5</v>
      </c>
      <c r="G27">
        <f t="shared" si="2"/>
        <v>-0.61729999999806751</v>
      </c>
      <c r="J27">
        <f t="shared" si="6"/>
        <v>-0.61729999999806751</v>
      </c>
      <c r="O27">
        <f t="shared" ca="1" si="3"/>
        <v>-1.17870714284384</v>
      </c>
      <c r="Q27" s="2">
        <f t="shared" si="4"/>
        <v>34270.180800000002</v>
      </c>
      <c r="R27">
        <f t="shared" ca="1" si="5"/>
        <v>0.31517798003825365</v>
      </c>
    </row>
    <row r="28" spans="1:18" ht="12.95" customHeight="1" x14ac:dyDescent="0.2">
      <c r="A28" t="s">
        <v>37</v>
      </c>
      <c r="C28" s="30">
        <v>49338.5625</v>
      </c>
      <c r="E28">
        <f t="shared" si="0"/>
        <v>74.993810380117864</v>
      </c>
      <c r="F28">
        <f t="shared" si="1"/>
        <v>75</v>
      </c>
      <c r="G28">
        <f t="shared" si="2"/>
        <v>-0.61749999999301508</v>
      </c>
      <c r="J28">
        <f t="shared" si="6"/>
        <v>-0.61749999999301508</v>
      </c>
      <c r="O28">
        <f t="shared" ca="1" si="3"/>
        <v>-1.1602285714158955</v>
      </c>
      <c r="Q28" s="2">
        <f t="shared" si="4"/>
        <v>34320.0625</v>
      </c>
      <c r="R28">
        <f t="shared" ca="1" si="5"/>
        <v>0.29455430223872064</v>
      </c>
    </row>
    <row r="29" spans="1:18" ht="12.95" customHeight="1" x14ac:dyDescent="0.2">
      <c r="A29" t="s">
        <v>37</v>
      </c>
      <c r="C29" s="30">
        <v>49886.927600000003</v>
      </c>
      <c r="E29">
        <f t="shared" si="0"/>
        <v>80.490444429743107</v>
      </c>
      <c r="F29">
        <f t="shared" si="1"/>
        <v>80.5</v>
      </c>
      <c r="G29">
        <f t="shared" si="2"/>
        <v>-0.95329999999376014</v>
      </c>
      <c r="J29">
        <f t="shared" si="6"/>
        <v>-0.95329999999376014</v>
      </c>
      <c r="O29">
        <f t="shared" ca="1" si="3"/>
        <v>-0.95696428570850678</v>
      </c>
      <c r="Q29" s="2">
        <f t="shared" si="4"/>
        <v>34868.427600000003</v>
      </c>
      <c r="R29">
        <f t="shared" ca="1" si="5"/>
        <v>1.3426989799296295E-5</v>
      </c>
    </row>
    <row r="30" spans="1:18" ht="12.95" customHeight="1" x14ac:dyDescent="0.2">
      <c r="A30" t="s">
        <v>37</v>
      </c>
      <c r="C30" s="30">
        <v>49986.7137</v>
      </c>
      <c r="E30">
        <f t="shared" si="0"/>
        <v>81.490667957716155</v>
      </c>
      <c r="F30">
        <f t="shared" si="1"/>
        <v>81.5</v>
      </c>
      <c r="G30">
        <f t="shared" si="2"/>
        <v>-0.93099999999685679</v>
      </c>
      <c r="J30">
        <f t="shared" si="6"/>
        <v>-0.93099999999685679</v>
      </c>
      <c r="O30">
        <f t="shared" ca="1" si="3"/>
        <v>-0.92000714285261775</v>
      </c>
      <c r="Q30" s="2">
        <f t="shared" si="4"/>
        <v>34968.2137</v>
      </c>
      <c r="R30">
        <f t="shared" ca="1" si="5"/>
        <v>1.2084290819364712E-4</v>
      </c>
    </row>
    <row r="31" spans="1:18" ht="12.95" customHeight="1" x14ac:dyDescent="0.2">
      <c r="A31" t="s">
        <v>37</v>
      </c>
      <c r="C31" s="30">
        <v>50036.632400000002</v>
      </c>
      <c r="E31">
        <f t="shared" si="0"/>
        <v>81.991036828990133</v>
      </c>
      <c r="F31">
        <f t="shared" si="1"/>
        <v>82</v>
      </c>
      <c r="G31">
        <f t="shared" si="2"/>
        <v>-0.89419999999518041</v>
      </c>
      <c r="J31">
        <f t="shared" si="6"/>
        <v>-0.89419999999518041</v>
      </c>
      <c r="O31">
        <f t="shared" ca="1" si="3"/>
        <v>-0.90152857142467324</v>
      </c>
      <c r="Q31" s="2">
        <f t="shared" si="4"/>
        <v>35018.132400000002</v>
      </c>
      <c r="R31">
        <f t="shared" ca="1" si="5"/>
        <v>5.3707959197178675E-5</v>
      </c>
    </row>
    <row r="32" spans="1:18" x14ac:dyDescent="0.2">
      <c r="C32" s="10"/>
      <c r="D32" s="10"/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767"/>
  <sheetViews>
    <sheetView workbookViewId="0">
      <selection activeCell="A11" sqref="A11:IV448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2" t="s">
        <v>43</v>
      </c>
      <c r="I1" s="33" t="s">
        <v>44</v>
      </c>
      <c r="J1" s="34" t="s">
        <v>45</v>
      </c>
    </row>
    <row r="2" spans="1:16" x14ac:dyDescent="0.2">
      <c r="I2" s="35" t="s">
        <v>46</v>
      </c>
      <c r="J2" s="36" t="s">
        <v>47</v>
      </c>
    </row>
    <row r="3" spans="1:16" x14ac:dyDescent="0.2">
      <c r="A3" s="37" t="s">
        <v>48</v>
      </c>
      <c r="I3" s="35" t="s">
        <v>49</v>
      </c>
      <c r="J3" s="36" t="s">
        <v>50</v>
      </c>
    </row>
    <row r="4" spans="1:16" x14ac:dyDescent="0.2">
      <c r="I4" s="35" t="s">
        <v>51</v>
      </c>
      <c r="J4" s="36" t="s">
        <v>50</v>
      </c>
    </row>
    <row r="5" spans="1:16" ht="13.5" thickBot="1" x14ac:dyDescent="0.25">
      <c r="I5" s="38" t="s">
        <v>52</v>
      </c>
      <c r="J5" s="39" t="s">
        <v>53</v>
      </c>
    </row>
    <row r="10" spans="1:16" ht="13.5" thickBot="1" x14ac:dyDescent="0.25"/>
    <row r="11" spans="1:16" ht="12.75" customHeight="1" thickBot="1" x14ac:dyDescent="0.25">
      <c r="A11" s="10" t="str">
        <f t="shared" ref="A11:A21" si="0">P11</f>
        <v> PASP 108.401 </v>
      </c>
      <c r="B11" s="3" t="str">
        <f t="shared" ref="B11:B21" si="1">IF(H11=INT(H11),"I","II")</f>
        <v>I</v>
      </c>
      <c r="C11" s="10">
        <f t="shared" ref="C11:C21" si="2">1*G11</f>
        <v>41856.894999999997</v>
      </c>
      <c r="D11" s="12" t="str">
        <f t="shared" ref="D11:D21" si="3">VLOOKUP(F11,I$1:J$5,2,FALSE)</f>
        <v>vis</v>
      </c>
      <c r="E11" s="40">
        <f>VLOOKUP(C11,'Active 1'!C$21:E$973,3,FALSE)</f>
        <v>0</v>
      </c>
      <c r="F11" s="3" t="s">
        <v>52</v>
      </c>
      <c r="G11" s="12" t="str">
        <f t="shared" ref="G11:G21" si="4">MID(I11,3,LEN(I11)-3)</f>
        <v>41856.895</v>
      </c>
      <c r="H11" s="10">
        <f t="shared" ref="H11:H21" si="5">1*K11</f>
        <v>0</v>
      </c>
      <c r="I11" s="41" t="s">
        <v>54</v>
      </c>
      <c r="J11" s="42" t="s">
        <v>55</v>
      </c>
      <c r="K11" s="41">
        <v>0</v>
      </c>
      <c r="L11" s="41" t="s">
        <v>56</v>
      </c>
      <c r="M11" s="42" t="s">
        <v>57</v>
      </c>
      <c r="N11" s="42" t="s">
        <v>58</v>
      </c>
      <c r="O11" s="43" t="s">
        <v>59</v>
      </c>
      <c r="P11" s="43" t="s">
        <v>60</v>
      </c>
    </row>
    <row r="12" spans="1:16" ht="12.75" customHeight="1" thickBot="1" x14ac:dyDescent="0.25">
      <c r="A12" s="10" t="str">
        <f t="shared" si="0"/>
        <v> PASP 108.401 </v>
      </c>
      <c r="B12" s="3" t="str">
        <f t="shared" si="1"/>
        <v>I</v>
      </c>
      <c r="C12" s="10">
        <f t="shared" si="2"/>
        <v>41905.85</v>
      </c>
      <c r="D12" s="12" t="str">
        <f t="shared" si="3"/>
        <v>vis</v>
      </c>
      <c r="E12" s="40">
        <f>VLOOKUP(C12,'Active 1'!C$21:E$973,3,FALSE)</f>
        <v>25.492456669854459</v>
      </c>
      <c r="F12" s="3" t="s">
        <v>52</v>
      </c>
      <c r="G12" s="12" t="str">
        <f t="shared" si="4"/>
        <v>41905.850</v>
      </c>
      <c r="H12" s="10">
        <f t="shared" si="5"/>
        <v>49</v>
      </c>
      <c r="I12" s="41" t="s">
        <v>61</v>
      </c>
      <c r="J12" s="42" t="s">
        <v>62</v>
      </c>
      <c r="K12" s="41">
        <v>49</v>
      </c>
      <c r="L12" s="41" t="s">
        <v>63</v>
      </c>
      <c r="M12" s="42" t="s">
        <v>57</v>
      </c>
      <c r="N12" s="42" t="s">
        <v>58</v>
      </c>
      <c r="O12" s="43" t="s">
        <v>59</v>
      </c>
      <c r="P12" s="43" t="s">
        <v>60</v>
      </c>
    </row>
    <row r="13" spans="1:16" ht="12.75" customHeight="1" thickBot="1" x14ac:dyDescent="0.25">
      <c r="A13" s="10" t="str">
        <f t="shared" si="0"/>
        <v> PASP 108.401 </v>
      </c>
      <c r="B13" s="3" t="str">
        <f t="shared" si="1"/>
        <v>I</v>
      </c>
      <c r="C13" s="10">
        <f t="shared" si="2"/>
        <v>41955.654000000002</v>
      </c>
      <c r="D13" s="12" t="str">
        <f t="shared" si="3"/>
        <v>vis</v>
      </c>
      <c r="E13" s="40">
        <f>VLOOKUP(C13,'Active 1'!C$21:E$973,3,FALSE)</f>
        <v>51.427015182477909</v>
      </c>
      <c r="F13" s="3" t="s">
        <v>52</v>
      </c>
      <c r="G13" s="12" t="str">
        <f t="shared" si="4"/>
        <v>41955.654</v>
      </c>
      <c r="H13" s="10">
        <f t="shared" si="5"/>
        <v>99</v>
      </c>
      <c r="I13" s="41" t="s">
        <v>64</v>
      </c>
      <c r="J13" s="42" t="s">
        <v>65</v>
      </c>
      <c r="K13" s="41">
        <v>99</v>
      </c>
      <c r="L13" s="41" t="s">
        <v>66</v>
      </c>
      <c r="M13" s="42" t="s">
        <v>57</v>
      </c>
      <c r="N13" s="42" t="s">
        <v>58</v>
      </c>
      <c r="O13" s="43" t="s">
        <v>59</v>
      </c>
      <c r="P13" s="43" t="s">
        <v>60</v>
      </c>
    </row>
    <row r="14" spans="1:16" ht="12.75" customHeight="1" thickBot="1" x14ac:dyDescent="0.25">
      <c r="A14" s="10" t="str">
        <f t="shared" si="0"/>
        <v> PASP 108.401 </v>
      </c>
      <c r="B14" s="3" t="str">
        <f t="shared" si="1"/>
        <v>I</v>
      </c>
      <c r="C14" s="10">
        <f t="shared" si="2"/>
        <v>41956.614999999998</v>
      </c>
      <c r="D14" s="12" t="str">
        <f t="shared" si="3"/>
        <v>vis</v>
      </c>
      <c r="E14" s="40">
        <f>VLOOKUP(C14,'Active 1'!C$21:E$973,3,FALSE)</f>
        <v>51.927439058682985</v>
      </c>
      <c r="F14" s="3" t="s">
        <v>52</v>
      </c>
      <c r="G14" s="12" t="str">
        <f t="shared" si="4"/>
        <v>41956.615</v>
      </c>
      <c r="H14" s="10">
        <f t="shared" si="5"/>
        <v>100</v>
      </c>
      <c r="I14" s="41" t="s">
        <v>67</v>
      </c>
      <c r="J14" s="42" t="s">
        <v>68</v>
      </c>
      <c r="K14" s="41">
        <v>100</v>
      </c>
      <c r="L14" s="41" t="s">
        <v>69</v>
      </c>
      <c r="M14" s="42" t="s">
        <v>57</v>
      </c>
      <c r="N14" s="42" t="s">
        <v>58</v>
      </c>
      <c r="O14" s="43" t="s">
        <v>59</v>
      </c>
      <c r="P14" s="43" t="s">
        <v>60</v>
      </c>
    </row>
    <row r="15" spans="1:16" ht="12.75" customHeight="1" thickBot="1" x14ac:dyDescent="0.25">
      <c r="A15" s="10" t="str">
        <f t="shared" si="0"/>
        <v> PASP 108.401 </v>
      </c>
      <c r="B15" s="3" t="str">
        <f t="shared" si="1"/>
        <v>II</v>
      </c>
      <c r="C15" s="10">
        <f t="shared" si="2"/>
        <v>49138.952899999997</v>
      </c>
      <c r="D15" s="12" t="str">
        <f t="shared" si="3"/>
        <v>vis</v>
      </c>
      <c r="E15" s="40">
        <f>VLOOKUP(C15,'Active 1'!C$21:E$973,3,FALSE)</f>
        <v>3792.0037888492438</v>
      </c>
      <c r="F15" s="3" t="s">
        <v>52</v>
      </c>
      <c r="G15" s="12" t="str">
        <f t="shared" si="4"/>
        <v>49138.9529</v>
      </c>
      <c r="H15" s="10">
        <f t="shared" si="5"/>
        <v>7302.5</v>
      </c>
      <c r="I15" s="41" t="s">
        <v>70</v>
      </c>
      <c r="J15" s="42" t="s">
        <v>71</v>
      </c>
      <c r="K15" s="41">
        <v>7302.5</v>
      </c>
      <c r="L15" s="41" t="s">
        <v>72</v>
      </c>
      <c r="M15" s="42" t="s">
        <v>57</v>
      </c>
      <c r="N15" s="42" t="s">
        <v>58</v>
      </c>
      <c r="O15" s="43" t="s">
        <v>59</v>
      </c>
      <c r="P15" s="43" t="s">
        <v>60</v>
      </c>
    </row>
    <row r="16" spans="1:16" ht="12.75" customHeight="1" thickBot="1" x14ac:dyDescent="0.25">
      <c r="A16" s="10" t="str">
        <f t="shared" si="0"/>
        <v> PASP 108.401 </v>
      </c>
      <c r="B16" s="3" t="str">
        <f t="shared" si="1"/>
        <v>II</v>
      </c>
      <c r="C16" s="10">
        <f t="shared" si="2"/>
        <v>49238.765399999997</v>
      </c>
      <c r="D16" s="12" t="str">
        <f t="shared" si="3"/>
        <v>vis</v>
      </c>
      <c r="E16" s="40">
        <f>VLOOKUP(C16,'Active 1'!C$21:E$973,3,FALSE)</f>
        <v>3843.9793956587578</v>
      </c>
      <c r="F16" s="3" t="s">
        <v>52</v>
      </c>
      <c r="G16" s="12" t="str">
        <f t="shared" si="4"/>
        <v>49238.7654</v>
      </c>
      <c r="H16" s="10">
        <f t="shared" si="5"/>
        <v>7402.5</v>
      </c>
      <c r="I16" s="41" t="s">
        <v>73</v>
      </c>
      <c r="J16" s="42" t="s">
        <v>74</v>
      </c>
      <c r="K16" s="41">
        <v>7402.5</v>
      </c>
      <c r="L16" s="41" t="s">
        <v>75</v>
      </c>
      <c r="M16" s="42" t="s">
        <v>57</v>
      </c>
      <c r="N16" s="42" t="s">
        <v>58</v>
      </c>
      <c r="O16" s="43" t="s">
        <v>59</v>
      </c>
      <c r="P16" s="43" t="s">
        <v>60</v>
      </c>
    </row>
    <row r="17" spans="1:16" ht="12.75" customHeight="1" thickBot="1" x14ac:dyDescent="0.25">
      <c r="A17" s="10" t="str">
        <f t="shared" si="0"/>
        <v> PASP 108.401 </v>
      </c>
      <c r="B17" s="3" t="str">
        <f t="shared" si="1"/>
        <v>II</v>
      </c>
      <c r="C17" s="10">
        <f t="shared" si="2"/>
        <v>49288.680800000002</v>
      </c>
      <c r="D17" s="12" t="str">
        <f t="shared" si="3"/>
        <v>vis</v>
      </c>
      <c r="E17" s="40">
        <f>VLOOKUP(C17,'Active 1'!C$21:E$973,3,FALSE)</f>
        <v>3869.9719637653566</v>
      </c>
      <c r="F17" s="3" t="s">
        <v>52</v>
      </c>
      <c r="G17" s="12" t="str">
        <f t="shared" si="4"/>
        <v>49288.6808</v>
      </c>
      <c r="H17" s="10">
        <f t="shared" si="5"/>
        <v>7452.5</v>
      </c>
      <c r="I17" s="41" t="s">
        <v>76</v>
      </c>
      <c r="J17" s="42" t="s">
        <v>77</v>
      </c>
      <c r="K17" s="41">
        <v>7452.5</v>
      </c>
      <c r="L17" s="41" t="s">
        <v>78</v>
      </c>
      <c r="M17" s="42" t="s">
        <v>57</v>
      </c>
      <c r="N17" s="42" t="s">
        <v>58</v>
      </c>
      <c r="O17" s="43" t="s">
        <v>59</v>
      </c>
      <c r="P17" s="43" t="s">
        <v>60</v>
      </c>
    </row>
    <row r="18" spans="1:16" ht="12.75" customHeight="1" thickBot="1" x14ac:dyDescent="0.25">
      <c r="A18" s="10" t="str">
        <f t="shared" si="0"/>
        <v> PASP 108.401 </v>
      </c>
      <c r="B18" s="3" t="str">
        <f t="shared" si="1"/>
        <v>II</v>
      </c>
      <c r="C18" s="10">
        <f t="shared" si="2"/>
        <v>49338.5625</v>
      </c>
      <c r="D18" s="12" t="str">
        <f t="shared" si="3"/>
        <v>vis</v>
      </c>
      <c r="E18" s="40">
        <f>VLOOKUP(C18,'Active 1'!C$21:E$973,3,FALSE)</f>
        <v>3895.9469831886754</v>
      </c>
      <c r="F18" s="3" t="s">
        <v>52</v>
      </c>
      <c r="G18" s="12" t="str">
        <f t="shared" si="4"/>
        <v>49338.5625</v>
      </c>
      <c r="H18" s="10">
        <f t="shared" si="5"/>
        <v>7502.5</v>
      </c>
      <c r="I18" s="41" t="s">
        <v>79</v>
      </c>
      <c r="J18" s="42" t="s">
        <v>80</v>
      </c>
      <c r="K18" s="41">
        <v>7502.5</v>
      </c>
      <c r="L18" s="41" t="s">
        <v>81</v>
      </c>
      <c r="M18" s="42" t="s">
        <v>57</v>
      </c>
      <c r="N18" s="42" t="s">
        <v>58</v>
      </c>
      <c r="O18" s="43" t="s">
        <v>59</v>
      </c>
      <c r="P18" s="43" t="s">
        <v>60</v>
      </c>
    </row>
    <row r="19" spans="1:16" ht="12.75" customHeight="1" thickBot="1" x14ac:dyDescent="0.25">
      <c r="A19" s="10" t="str">
        <f t="shared" si="0"/>
        <v> PASP 108.401 </v>
      </c>
      <c r="B19" s="3" t="str">
        <f t="shared" si="1"/>
        <v>I</v>
      </c>
      <c r="C19" s="10">
        <f t="shared" si="2"/>
        <v>49886.927600000003</v>
      </c>
      <c r="D19" s="12" t="str">
        <f t="shared" si="3"/>
        <v>vis</v>
      </c>
      <c r="E19" s="40">
        <f>VLOOKUP(C19,'Active 1'!C$21:E$973,3,FALSE)</f>
        <v>4181.4984805027389</v>
      </c>
      <c r="F19" s="3" t="s">
        <v>52</v>
      </c>
      <c r="G19" s="12" t="str">
        <f t="shared" si="4"/>
        <v>49886.9276</v>
      </c>
      <c r="H19" s="10">
        <f t="shared" si="5"/>
        <v>8051</v>
      </c>
      <c r="I19" s="41" t="s">
        <v>82</v>
      </c>
      <c r="J19" s="42" t="s">
        <v>83</v>
      </c>
      <c r="K19" s="41">
        <v>8051</v>
      </c>
      <c r="L19" s="41" t="s">
        <v>84</v>
      </c>
      <c r="M19" s="42" t="s">
        <v>57</v>
      </c>
      <c r="N19" s="42" t="s">
        <v>58</v>
      </c>
      <c r="O19" s="43" t="s">
        <v>59</v>
      </c>
      <c r="P19" s="43" t="s">
        <v>60</v>
      </c>
    </row>
    <row r="20" spans="1:16" ht="12.75" customHeight="1" thickBot="1" x14ac:dyDescent="0.25">
      <c r="A20" s="10" t="str">
        <f t="shared" si="0"/>
        <v> PASP 108.401 </v>
      </c>
      <c r="B20" s="3" t="str">
        <f t="shared" si="1"/>
        <v>I</v>
      </c>
      <c r="C20" s="10">
        <f t="shared" si="2"/>
        <v>49986.7137</v>
      </c>
      <c r="D20" s="12" t="str">
        <f t="shared" si="3"/>
        <v>vis</v>
      </c>
      <c r="E20" s="40">
        <f>VLOOKUP(C20,'Active 1'!C$21:E$973,3,FALSE)</f>
        <v>4233.460339975798</v>
      </c>
      <c r="F20" s="3" t="s">
        <v>52</v>
      </c>
      <c r="G20" s="12" t="str">
        <f t="shared" si="4"/>
        <v>49986.7137</v>
      </c>
      <c r="H20" s="10">
        <f t="shared" si="5"/>
        <v>8151</v>
      </c>
      <c r="I20" s="41" t="s">
        <v>85</v>
      </c>
      <c r="J20" s="42" t="s">
        <v>86</v>
      </c>
      <c r="K20" s="41">
        <v>8151</v>
      </c>
      <c r="L20" s="41" t="s">
        <v>87</v>
      </c>
      <c r="M20" s="42" t="s">
        <v>57</v>
      </c>
      <c r="N20" s="42" t="s">
        <v>58</v>
      </c>
      <c r="O20" s="43" t="s">
        <v>59</v>
      </c>
      <c r="P20" s="43" t="s">
        <v>60</v>
      </c>
    </row>
    <row r="21" spans="1:16" ht="12.75" customHeight="1" thickBot="1" x14ac:dyDescent="0.25">
      <c r="A21" s="10" t="str">
        <f t="shared" si="0"/>
        <v> PASP 108.401 </v>
      </c>
      <c r="B21" s="3" t="str">
        <f t="shared" si="1"/>
        <v>I</v>
      </c>
      <c r="C21" s="10">
        <f t="shared" si="2"/>
        <v>50036.632400000002</v>
      </c>
      <c r="D21" s="12" t="str">
        <f t="shared" si="3"/>
        <v>vis</v>
      </c>
      <c r="E21" s="40">
        <f>VLOOKUP(C21,'Active 1'!C$21:E$973,3,FALSE)</f>
        <v>4259.4546264994524</v>
      </c>
      <c r="F21" s="3" t="s">
        <v>52</v>
      </c>
      <c r="G21" s="12" t="str">
        <f t="shared" si="4"/>
        <v>50036.6324</v>
      </c>
      <c r="H21" s="10">
        <f t="shared" si="5"/>
        <v>8201</v>
      </c>
      <c r="I21" s="41" t="s">
        <v>88</v>
      </c>
      <c r="J21" s="42" t="s">
        <v>89</v>
      </c>
      <c r="K21" s="41">
        <v>8201</v>
      </c>
      <c r="L21" s="41" t="s">
        <v>90</v>
      </c>
      <c r="M21" s="42" t="s">
        <v>57</v>
      </c>
      <c r="N21" s="42" t="s">
        <v>58</v>
      </c>
      <c r="O21" s="43" t="s">
        <v>59</v>
      </c>
      <c r="P21" s="43" t="s">
        <v>60</v>
      </c>
    </row>
    <row r="22" spans="1:16" x14ac:dyDescent="0.2">
      <c r="B22" s="3"/>
      <c r="F22" s="3"/>
    </row>
    <row r="23" spans="1:16" x14ac:dyDescent="0.2">
      <c r="B23" s="3"/>
      <c r="F23" s="3"/>
    </row>
    <row r="24" spans="1:16" x14ac:dyDescent="0.2">
      <c r="B24" s="3"/>
      <c r="F24" s="3"/>
    </row>
    <row r="25" spans="1:16" x14ac:dyDescent="0.2">
      <c r="B25" s="3"/>
      <c r="F25" s="3"/>
    </row>
    <row r="26" spans="1:16" x14ac:dyDescent="0.2">
      <c r="B26" s="3"/>
      <c r="F26" s="3"/>
    </row>
    <row r="27" spans="1:16" x14ac:dyDescent="0.2">
      <c r="B27" s="3"/>
      <c r="F27" s="3"/>
    </row>
    <row r="28" spans="1:16" x14ac:dyDescent="0.2">
      <c r="B28" s="3"/>
      <c r="F28" s="3"/>
    </row>
    <row r="29" spans="1:16" x14ac:dyDescent="0.2">
      <c r="B29" s="3"/>
      <c r="F29" s="3"/>
    </row>
    <row r="30" spans="1:16" x14ac:dyDescent="0.2">
      <c r="B30" s="3"/>
      <c r="F30" s="3"/>
    </row>
    <row r="31" spans="1:16" x14ac:dyDescent="0.2">
      <c r="B31" s="3"/>
      <c r="F31" s="3"/>
    </row>
    <row r="32" spans="1:1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</sheetData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Active 1</vt:lpstr>
      <vt:lpstr>Active 2</vt:lpstr>
      <vt:lpstr>Active 3</vt:lpstr>
      <vt:lpstr>Active 4</vt:lpstr>
      <vt:lpstr>Active 5</vt:lpstr>
      <vt:lpstr>Active 6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2024-02-28T01:04:34Z</dcterms:modified>
</cp:coreProperties>
</file>