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24CF883-D0AC-42C6-A6D1-E77F6F59FE3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9" i="1" l="1"/>
  <c r="F39" i="1"/>
  <c r="G39" i="1"/>
  <c r="K39" i="1"/>
  <c r="E41" i="1"/>
  <c r="F41" i="1"/>
  <c r="G41" i="1"/>
  <c r="K41" i="1"/>
  <c r="E33" i="1"/>
  <c r="F33" i="1"/>
  <c r="G33" i="1"/>
  <c r="J33" i="1"/>
  <c r="E34" i="1"/>
  <c r="F34" i="1"/>
  <c r="G34" i="1"/>
  <c r="I34" i="1"/>
  <c r="E35" i="1"/>
  <c r="F35" i="1"/>
  <c r="G35" i="1"/>
  <c r="I35" i="1"/>
  <c r="E36" i="1"/>
  <c r="F36" i="1"/>
  <c r="G36" i="1"/>
  <c r="J36" i="1"/>
  <c r="E37" i="1"/>
  <c r="F37" i="1"/>
  <c r="G37" i="1"/>
  <c r="K37" i="1"/>
  <c r="E38" i="1"/>
  <c r="F38" i="1"/>
  <c r="G38" i="1"/>
  <c r="K38" i="1"/>
  <c r="E40" i="1"/>
  <c r="F40" i="1"/>
  <c r="G40" i="1"/>
  <c r="Q39" i="1"/>
  <c r="Q41" i="1"/>
  <c r="F24" i="1"/>
  <c r="G24" i="1"/>
  <c r="E28" i="1"/>
  <c r="F28" i="1"/>
  <c r="G28" i="1"/>
  <c r="J28" i="1"/>
  <c r="E29" i="1"/>
  <c r="F29" i="1"/>
  <c r="G29" i="1"/>
  <c r="J29" i="1"/>
  <c r="E30" i="1"/>
  <c r="F30" i="1"/>
  <c r="G30" i="1"/>
  <c r="J30" i="1"/>
  <c r="E31" i="1"/>
  <c r="F31" i="1"/>
  <c r="G31" i="1"/>
  <c r="J31" i="1"/>
  <c r="E32" i="1"/>
  <c r="F32" i="1"/>
  <c r="G32" i="1"/>
  <c r="J32" i="1"/>
  <c r="Q38" i="1"/>
  <c r="K40" i="1"/>
  <c r="Q40" i="1"/>
  <c r="D9" i="1"/>
  <c r="C9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E25" i="1"/>
  <c r="F25" i="1"/>
  <c r="G25" i="1"/>
  <c r="K25" i="1"/>
  <c r="E26" i="1"/>
  <c r="F26" i="1"/>
  <c r="G26" i="1"/>
  <c r="J26" i="1"/>
  <c r="E27" i="1"/>
  <c r="F27" i="1"/>
  <c r="G27" i="1"/>
  <c r="J27" i="1"/>
  <c r="Q34" i="1"/>
  <c r="Q35" i="1"/>
  <c r="G25" i="2"/>
  <c r="C25" i="2"/>
  <c r="E25" i="2"/>
  <c r="G24" i="2"/>
  <c r="C24" i="2"/>
  <c r="E24" i="2"/>
  <c r="G27" i="2"/>
  <c r="C27" i="2"/>
  <c r="E27" i="2"/>
  <c r="G26" i="2"/>
  <c r="C26" i="2"/>
  <c r="E26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25" i="2"/>
  <c r="D25" i="2"/>
  <c r="B25" i="2"/>
  <c r="A25" i="2"/>
  <c r="H24" i="2"/>
  <c r="B24" i="2"/>
  <c r="D24" i="2"/>
  <c r="A24" i="2"/>
  <c r="H27" i="2"/>
  <c r="D27" i="2"/>
  <c r="B27" i="2"/>
  <c r="A27" i="2"/>
  <c r="H26" i="2"/>
  <c r="B26" i="2"/>
  <c r="D26" i="2"/>
  <c r="A26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36" i="1"/>
  <c r="Q37" i="1"/>
  <c r="F16" i="1"/>
  <c r="C17" i="1"/>
  <c r="Q21" i="1"/>
  <c r="Q22" i="1"/>
  <c r="Q23" i="1"/>
  <c r="K24" i="1"/>
  <c r="Q24" i="1"/>
  <c r="Q25" i="1"/>
  <c r="Q26" i="1"/>
  <c r="Q27" i="1"/>
  <c r="Q28" i="1"/>
  <c r="Q29" i="1"/>
  <c r="Q30" i="1"/>
  <c r="Q31" i="1"/>
  <c r="Q32" i="1"/>
  <c r="Q33" i="1"/>
  <c r="C12" i="1"/>
  <c r="C11" i="1"/>
  <c r="O25" i="1" l="1"/>
  <c r="O28" i="1"/>
  <c r="O23" i="1"/>
  <c r="O31" i="1"/>
  <c r="O24" i="1"/>
  <c r="O36" i="1"/>
  <c r="O27" i="1"/>
  <c r="O35" i="1"/>
  <c r="O34" i="1"/>
  <c r="O32" i="1"/>
  <c r="O33" i="1"/>
  <c r="C15" i="1"/>
  <c r="O21" i="1"/>
  <c r="O26" i="1"/>
  <c r="O22" i="1"/>
  <c r="O40" i="1"/>
  <c r="O30" i="1"/>
  <c r="O37" i="1"/>
  <c r="O39" i="1"/>
  <c r="O41" i="1"/>
  <c r="O38" i="1"/>
  <c r="O29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<sst xmlns="http://schemas.openxmlformats.org/spreadsheetml/2006/main" count="232" uniqueCount="127">
  <si>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</si>
  <si>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</si>
  <si>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</si>
  <si>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</si>
  <si>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</si>
  <si>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</si>
  <si>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</si>
  <si>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</si>
  <si>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</si>
  <si>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</si>
  <si>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</si>
  <si>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</si>
  <si>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</si>
  <si>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</si>
  <si>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</si>
  <si>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</si>
  <si>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</si>
  <si>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</si>
  <si>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</si>
  <si>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</si>
  <si>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</si>
  <si>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</si>
  <si>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</si>
  <si>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</si>
  <si>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</si>
  <si>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</si>
  <si>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</si>
  <si>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5016</t>
  </si>
  <si>
    <t>II</t>
  </si>
  <si>
    <t>IBVS 5296</t>
  </si>
  <si>
    <t>not avail.</t>
  </si>
  <si>
    <t>From ToMcat</t>
  </si>
  <si>
    <t>(period-search software)</t>
  </si>
  <si>
    <t>IBVS 4406</t>
  </si>
  <si>
    <t>E/RS: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</si>
  <si>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</si>
  <si>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</si>
  <si>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</si>
  <si>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</si>
  <si>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</si>
  <si>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</si>
  <si>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</si>
  <si>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</si>
  <si>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</si>
  <si>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5960</t>
  </si>
  <si>
    <t>IBVS 5918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</si>
  <si>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</si>
  <si>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</si>
  <si>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</si>
  <si>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</si>
  <si>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</si>
  <si>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</si>
  <si>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</si>
  <si>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</si>
  <si>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</si>
  <si>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</si>
  <si>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</si>
  <si>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</si>
  <si>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2450249.4765 </t>
  </si>
  <si>
    <t> 14.06.1996 23:26 </t>
  </si>
  <si>
    <t> 0.0135 </t>
  </si>
  <si>
    <t>E </t>
  </si>
  <si>
    <t>o</t>
  </si>
  <si>
    <t> F.Agerer </t>
  </si>
  <si>
    <t>BAVM 94 </t>
  </si>
  <si>
    <t>2450304.3891 </t>
  </si>
  <si>
    <t> 08.08.1996 21:20 </t>
  </si>
  <si>
    <t> 0.0202 </t>
  </si>
  <si>
    <t>2450360.5625 </t>
  </si>
  <si>
    <t> 04.10.1996 01:30 </t>
  </si>
  <si>
    <t> 0.0108 </t>
  </si>
  <si>
    <t>2450369.5022 </t>
  </si>
  <si>
    <t> 13.10.1996 00:03 </t>
  </si>
  <si>
    <t> 0.0123 </t>
  </si>
  <si>
    <t>2450392.4843 </t>
  </si>
  <si>
    <t> 04.11.1996 23:37 </t>
  </si>
  <si>
    <t> 0.0105 </t>
  </si>
  <si>
    <t>2450715.5206 </t>
  </si>
  <si>
    <t> 24.09.1997 00:29 </t>
  </si>
  <si>
    <t> -0.0042 </t>
  </si>
  <si>
    <t>BAVM 132 </t>
  </si>
  <si>
    <t>2450825.3308 </t>
  </si>
  <si>
    <t> 11.01.1998 19:56 </t>
  </si>
  <si>
    <t> -0.0058 </t>
  </si>
  <si>
    <t>2450904.5054 </t>
  </si>
  <si>
    <t> 01.04.1998 00:07 </t>
  </si>
  <si>
    <t> 0.0022 </t>
  </si>
  <si>
    <t>2451033.474 </t>
  </si>
  <si>
    <t> 07.08.1998 23:22 </t>
  </si>
  <si>
    <t> 0.006 </t>
  </si>
  <si>
    <t>2451434.4051 </t>
  </si>
  <si>
    <t> 12.09.1999 21:43 </t>
  </si>
  <si>
    <t> -0.0040 </t>
  </si>
  <si>
    <t>2451471.4404 </t>
  </si>
  <si>
    <t> 19.10.1999 22:34 </t>
  </si>
  <si>
    <t> 0.0018 </t>
  </si>
  <si>
    <t>2451757.4533 </t>
  </si>
  <si>
    <t> 31.07.2000 22:52 </t>
  </si>
  <si>
    <t> -0.0068 </t>
  </si>
  <si>
    <t>BAVM 152 </t>
  </si>
  <si>
    <t>2452043.4866 </t>
  </si>
  <si>
    <t> 13.05.2001 23:40 </t>
  </si>
  <si>
    <t> 0.0051 </t>
  </si>
  <si>
    <t>2452112.438 </t>
  </si>
  <si>
    <t> 21.07.2001 22:30 </t>
  </si>
  <si>
    <t> 0.005 </t>
  </si>
  <si>
    <t>?</t>
  </si>
  <si>
    <t> R.Diethelm </t>
  </si>
  <si>
    <t> BBS 126 </t>
  </si>
  <si>
    <t>2452504.438 </t>
  </si>
  <si>
    <t> 17.08.2002 22:30 </t>
  </si>
  <si>
    <t> 0.002 </t>
  </si>
  <si>
    <t> BBS 128 </t>
  </si>
  <si>
    <t>2454925.3998 </t>
  </si>
  <si>
    <t> 03.04.2009 21:35 </t>
  </si>
  <si>
    <t> -0.0033 </t>
  </si>
  <si>
    <t>C </t>
  </si>
  <si>
    <t>-I</t>
  </si>
  <si>
    <t>BAVM 209 </t>
  </si>
  <si>
    <t>2455383.7851 </t>
  </si>
  <si>
    <t> 06.07.2010 06:50 </t>
  </si>
  <si>
    <t>1128.5</t>
  </si>
  <si>
    <t> -0.0184 </t>
  </si>
  <si>
    <t>IBVS 5960 </t>
  </si>
  <si>
    <t>OEJV 0179</t>
  </si>
  <si>
    <t>OEJV 0211</t>
  </si>
  <si>
    <t>V0489 Cep / GSC 04261-01197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</si>
</sst>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</borders>
  <cellStyleXfs count="49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8" fillId="0" borderId="0"/>
    <xf numFmtId="0" fontId="8" fillId="0" borderId="0"/>
    <xf numFmtId="0" fontId="8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6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9" xfId="0" applyBorder="1" applyAlignment="1">
      <alignment horizontal="center"/>
    </xf>
    <xf numFmtId="0" fontId="9" fillId="0" borderId="0" xfId="0" applyFont="1" applyAlignment="1"/>
    <xf numFmtId="0" fontId="9" fillId="0" borderId="0" xfId="0" quotePrefix="1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3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5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10" xfId="0" applyBorder="1">
      <alignment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4" fillId="24" borderId="17" xfId="0" applyFont="1" applyFill="1" applyBorder="1" applyAlignment="1">
      <alignment horizontal="left" vertical="top" wrapText="1" indent="1"/>
    </xf>
    <xf numFmtId="0" fontId="4" fillId="24" borderId="17" xfId="0" applyFont="1" applyFill="1" applyBorder="1" applyAlignment="1">
      <alignment horizontal="center" vertical="top" wrapText="1"/>
    </xf>
    <xf numFmtId="0" fontId="4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5" fillId="0" borderId="0" xfId="0" applyFont="1" applyAlignment="1">
      <alignment horizontal="left"/>
    </xf>
    <xf numFmtId="0" fontId="0" fillId="0" borderId="18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9" xfId="0" applyBorder="1" applyAlignment="1">
      <alignment horizontal="left" vertical="top"/>
    </xf>
    <xf numFmtId="0" fontId="32" fillId="0" borderId="0" xfId="0" applyFont="1">
      <alignment vertical="top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4" fillId="0" borderId="0" xfId="43" applyFont="1"/>
    <xf numFmtId="0" fontId="4" fillId="0" borderId="0" xfId="43" applyFont="1" applyAlignment="1">
      <alignment horizontal="center"/>
    </xf>
    <xf numFmtId="0" fontId="4" fillId="0" borderId="0" xfId="43" applyFont="1" applyAlignment="1">
      <alignment horizontal="left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9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/>
    </xf>
    <xf numFmtId="0" fontId="34" fillId="0" borderId="0" xfId="0" applyFont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V0489 Cep - O-C Diagr.</a:t>
            </a:r>
          </a:p>
        </c:rich>
      </c:tx>
      <c:layout>
        <c:manualLayout>
          <c:xMode val="edge"/>
          <c:yMode val="edge"/>
          <c:x val="0.3634898384067096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142171204635756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21.5</c:v>
                </c:pt>
                <c:pt idx="2">
                  <c:v>43.5</c:v>
                </c:pt>
                <c:pt idx="3">
                  <c:v>47</c:v>
                </c:pt>
                <c:pt idx="4">
                  <c:v>56</c:v>
                </c:pt>
                <c:pt idx="5">
                  <c:v>182.5</c:v>
                </c:pt>
                <c:pt idx="6">
                  <c:v>225.5</c:v>
                </c:pt>
                <c:pt idx="7">
                  <c:v>256.5</c:v>
                </c:pt>
                <c:pt idx="8">
                  <c:v>307</c:v>
                </c:pt>
                <c:pt idx="9">
                  <c:v>464</c:v>
                </c:pt>
                <c:pt idx="10">
                  <c:v>478.5</c:v>
                </c:pt>
                <c:pt idx="11">
                  <c:v>590.5</c:v>
                </c:pt>
                <c:pt idx="12">
                  <c:v>702.5</c:v>
                </c:pt>
                <c:pt idx="13">
                  <c:v>729.5</c:v>
                </c:pt>
                <c:pt idx="14">
                  <c:v>883</c:v>
                </c:pt>
                <c:pt idx="15">
                  <c:v>1831</c:v>
                </c:pt>
                <c:pt idx="16">
                  <c:v>2010.5</c:v>
                </c:pt>
                <c:pt idx="17">
                  <c:v>2842.5</c:v>
                </c:pt>
                <c:pt idx="18">
                  <c:v>2842.5</c:v>
                </c:pt>
                <c:pt idx="19">
                  <c:v>2846</c:v>
                </c:pt>
                <c:pt idx="20">
                  <c:v>2846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37-4801-9039-315C743F40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21.5</c:v>
                </c:pt>
                <c:pt idx="2">
                  <c:v>43.5</c:v>
                </c:pt>
                <c:pt idx="3">
                  <c:v>47</c:v>
                </c:pt>
                <c:pt idx="4">
                  <c:v>56</c:v>
                </c:pt>
                <c:pt idx="5">
                  <c:v>182.5</c:v>
                </c:pt>
                <c:pt idx="6">
                  <c:v>225.5</c:v>
                </c:pt>
                <c:pt idx="7">
                  <c:v>256.5</c:v>
                </c:pt>
                <c:pt idx="8">
                  <c:v>307</c:v>
                </c:pt>
                <c:pt idx="9">
                  <c:v>464</c:v>
                </c:pt>
                <c:pt idx="10">
                  <c:v>478.5</c:v>
                </c:pt>
                <c:pt idx="11">
                  <c:v>590.5</c:v>
                </c:pt>
                <c:pt idx="12">
                  <c:v>702.5</c:v>
                </c:pt>
                <c:pt idx="13">
                  <c:v>729.5</c:v>
                </c:pt>
                <c:pt idx="14">
                  <c:v>883</c:v>
                </c:pt>
                <c:pt idx="15">
                  <c:v>1831</c:v>
                </c:pt>
                <c:pt idx="16">
                  <c:v>2010.5</c:v>
                </c:pt>
                <c:pt idx="17">
                  <c:v>2842.5</c:v>
                </c:pt>
                <c:pt idx="18">
                  <c:v>2842.5</c:v>
                </c:pt>
                <c:pt idx="19">
                  <c:v>2846</c:v>
                </c:pt>
                <c:pt idx="20">
                  <c:v>2846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13">
                  <c:v>1.546500000404194E-2</c:v>
                </c:pt>
                <c:pt idx="14">
                  <c:v>1.7910000002302695E-2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37-4801-9039-315C743F40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21.5</c:v>
                </c:pt>
                <c:pt idx="2">
                  <c:v>43.5</c:v>
                </c:pt>
                <c:pt idx="3">
                  <c:v>47</c:v>
                </c:pt>
                <c:pt idx="4">
                  <c:v>56</c:v>
                </c:pt>
                <c:pt idx="5">
                  <c:v>182.5</c:v>
                </c:pt>
                <c:pt idx="6">
                  <c:v>225.5</c:v>
                </c:pt>
                <c:pt idx="7">
                  <c:v>256.5</c:v>
                </c:pt>
                <c:pt idx="8">
                  <c:v>307</c:v>
                </c:pt>
                <c:pt idx="9">
                  <c:v>464</c:v>
                </c:pt>
                <c:pt idx="10">
                  <c:v>478.5</c:v>
                </c:pt>
                <c:pt idx="11">
                  <c:v>590.5</c:v>
                </c:pt>
                <c:pt idx="12">
                  <c:v>702.5</c:v>
                </c:pt>
                <c:pt idx="13">
                  <c:v>729.5</c:v>
                </c:pt>
                <c:pt idx="14">
                  <c:v>883</c:v>
                </c:pt>
                <c:pt idx="15">
                  <c:v>1831</c:v>
                </c:pt>
                <c:pt idx="16">
                  <c:v>2010.5</c:v>
                </c:pt>
                <c:pt idx="17">
                  <c:v>2842.5</c:v>
                </c:pt>
                <c:pt idx="18">
                  <c:v>2842.5</c:v>
                </c:pt>
                <c:pt idx="19">
                  <c:v>2846</c:v>
                </c:pt>
                <c:pt idx="20">
                  <c:v>2846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5">
                  <c:v>-1.1624999991909135E-2</c:v>
                </c:pt>
                <c:pt idx="6">
                  <c:v>-1.181499999074731E-2</c:v>
                </c:pt>
                <c:pt idx="7">
                  <c:v>-2.8449999954318628E-3</c:v>
                </c:pt>
                <c:pt idx="8">
                  <c:v>2.3900000014691614E-3</c:v>
                </c:pt>
                <c:pt idx="9">
                  <c:v>-2.119999990100041E-3</c:v>
                </c:pt>
                <c:pt idx="10">
                  <c:v>4.0950000038719736E-3</c:v>
                </c:pt>
                <c:pt idx="11">
                  <c:v>-7.6499999704537913E-4</c:v>
                </c:pt>
                <c:pt idx="12">
                  <c:v>1.4774999996006954E-2</c:v>
                </c:pt>
                <c:pt idx="15">
                  <c:v>4.3669999999110587E-2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437-4801-9039-315C743F40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21.5</c:v>
                </c:pt>
                <c:pt idx="2">
                  <c:v>43.5</c:v>
                </c:pt>
                <c:pt idx="3">
                  <c:v>47</c:v>
                </c:pt>
                <c:pt idx="4">
                  <c:v>56</c:v>
                </c:pt>
                <c:pt idx="5">
                  <c:v>182.5</c:v>
                </c:pt>
                <c:pt idx="6">
                  <c:v>225.5</c:v>
                </c:pt>
                <c:pt idx="7">
                  <c:v>256.5</c:v>
                </c:pt>
                <c:pt idx="8">
                  <c:v>307</c:v>
                </c:pt>
                <c:pt idx="9">
                  <c:v>464</c:v>
                </c:pt>
                <c:pt idx="10">
                  <c:v>478.5</c:v>
                </c:pt>
                <c:pt idx="11">
                  <c:v>590.5</c:v>
                </c:pt>
                <c:pt idx="12">
                  <c:v>702.5</c:v>
                </c:pt>
                <c:pt idx="13">
                  <c:v>729.5</c:v>
                </c:pt>
                <c:pt idx="14">
                  <c:v>883</c:v>
                </c:pt>
                <c:pt idx="15">
                  <c:v>1831</c:v>
                </c:pt>
                <c:pt idx="16">
                  <c:v>2010.5</c:v>
                </c:pt>
                <c:pt idx="17">
                  <c:v>2842.5</c:v>
                </c:pt>
                <c:pt idx="18">
                  <c:v>2842.5</c:v>
                </c:pt>
                <c:pt idx="19">
                  <c:v>2846</c:v>
                </c:pt>
                <c:pt idx="20">
                  <c:v>2846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0</c:v>
                </c:pt>
                <c:pt idx="1">
                  <c:v>7.405000003927853E-3</c:v>
                </c:pt>
                <c:pt idx="2">
                  <c:v>-1.2549999955808744E-3</c:v>
                </c:pt>
                <c:pt idx="3">
                  <c:v>3.9000000833766535E-4</c:v>
                </c:pt>
                <c:pt idx="4">
                  <c:v>-1.0800000018207356E-3</c:v>
                </c:pt>
                <c:pt idx="16">
                  <c:v>3.4435000001394656E-2</c:v>
                </c:pt>
                <c:pt idx="17">
                  <c:v>6.4635000002454035E-2</c:v>
                </c:pt>
                <c:pt idx="18">
                  <c:v>6.4734999890788458E-2</c:v>
                </c:pt>
                <c:pt idx="19">
                  <c:v>6.5610000005108304E-2</c:v>
                </c:pt>
                <c:pt idx="20">
                  <c:v>6.5659999985655304E-2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437-4801-9039-315C743F40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21.5</c:v>
                </c:pt>
                <c:pt idx="2">
                  <c:v>43.5</c:v>
                </c:pt>
                <c:pt idx="3">
                  <c:v>47</c:v>
                </c:pt>
                <c:pt idx="4">
                  <c:v>56</c:v>
                </c:pt>
                <c:pt idx="5">
                  <c:v>182.5</c:v>
                </c:pt>
                <c:pt idx="6">
                  <c:v>225.5</c:v>
                </c:pt>
                <c:pt idx="7">
                  <c:v>256.5</c:v>
                </c:pt>
                <c:pt idx="8">
                  <c:v>307</c:v>
                </c:pt>
                <c:pt idx="9">
                  <c:v>464</c:v>
                </c:pt>
                <c:pt idx="10">
                  <c:v>478.5</c:v>
                </c:pt>
                <c:pt idx="11">
                  <c:v>590.5</c:v>
                </c:pt>
                <c:pt idx="12">
                  <c:v>702.5</c:v>
                </c:pt>
                <c:pt idx="13">
                  <c:v>729.5</c:v>
                </c:pt>
                <c:pt idx="14">
                  <c:v>883</c:v>
                </c:pt>
                <c:pt idx="15">
                  <c:v>1831</c:v>
                </c:pt>
                <c:pt idx="16">
                  <c:v>2010.5</c:v>
                </c:pt>
                <c:pt idx="17">
                  <c:v>2842.5</c:v>
                </c:pt>
                <c:pt idx="18">
                  <c:v>2842.5</c:v>
                </c:pt>
                <c:pt idx="19">
                  <c:v>2846</c:v>
                </c:pt>
                <c:pt idx="20">
                  <c:v>2846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437-4801-9039-315C743F40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21.5</c:v>
                </c:pt>
                <c:pt idx="2">
                  <c:v>43.5</c:v>
                </c:pt>
                <c:pt idx="3">
                  <c:v>47</c:v>
                </c:pt>
                <c:pt idx="4">
                  <c:v>56</c:v>
                </c:pt>
                <c:pt idx="5">
                  <c:v>182.5</c:v>
                </c:pt>
                <c:pt idx="6">
                  <c:v>225.5</c:v>
                </c:pt>
                <c:pt idx="7">
                  <c:v>256.5</c:v>
                </c:pt>
                <c:pt idx="8">
                  <c:v>307</c:v>
                </c:pt>
                <c:pt idx="9">
                  <c:v>464</c:v>
                </c:pt>
                <c:pt idx="10">
                  <c:v>478.5</c:v>
                </c:pt>
                <c:pt idx="11">
                  <c:v>590.5</c:v>
                </c:pt>
                <c:pt idx="12">
                  <c:v>702.5</c:v>
                </c:pt>
                <c:pt idx="13">
                  <c:v>729.5</c:v>
                </c:pt>
                <c:pt idx="14">
                  <c:v>883</c:v>
                </c:pt>
                <c:pt idx="15">
                  <c:v>1831</c:v>
                </c:pt>
                <c:pt idx="16">
                  <c:v>2010.5</c:v>
                </c:pt>
                <c:pt idx="17">
                  <c:v>2842.5</c:v>
                </c:pt>
                <c:pt idx="18">
                  <c:v>2842.5</c:v>
                </c:pt>
                <c:pt idx="19">
                  <c:v>2846</c:v>
                </c:pt>
                <c:pt idx="20">
                  <c:v>2846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437-4801-9039-315C743F40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5">
                    <c:v>1.6999999999999999E-3</c:v>
                  </c:pt>
                  <c:pt idx="6">
                    <c:v>5.0000000000000001E-4</c:v>
                  </c:pt>
                  <c:pt idx="7">
                    <c:v>1.5E-3</c:v>
                  </c:pt>
                  <c:pt idx="8">
                    <c:v>2E-3</c:v>
                  </c:pt>
                  <c:pt idx="9">
                    <c:v>1E-3</c:v>
                  </c:pt>
                  <c:pt idx="10">
                    <c:v>5.9999999999999995E-4</c:v>
                  </c:pt>
                  <c:pt idx="11">
                    <c:v>8.0000000000000004E-4</c:v>
                  </c:pt>
                  <c:pt idx="12">
                    <c:v>5.0000000000000001E-4</c:v>
                  </c:pt>
                  <c:pt idx="13">
                    <c:v>0</c:v>
                  </c:pt>
                  <c:pt idx="14">
                    <c:v>0</c:v>
                  </c:pt>
                  <c:pt idx="15">
                    <c:v>1.4E-3</c:v>
                  </c:pt>
                  <c:pt idx="16">
                    <c:v>5.0000000000000001E-4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5.0000000000000001E-4</c:v>
                  </c:pt>
                  <c:pt idx="20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21.5</c:v>
                </c:pt>
                <c:pt idx="2">
                  <c:v>43.5</c:v>
                </c:pt>
                <c:pt idx="3">
                  <c:v>47</c:v>
                </c:pt>
                <c:pt idx="4">
                  <c:v>56</c:v>
                </c:pt>
                <c:pt idx="5">
                  <c:v>182.5</c:v>
                </c:pt>
                <c:pt idx="6">
                  <c:v>225.5</c:v>
                </c:pt>
                <c:pt idx="7">
                  <c:v>256.5</c:v>
                </c:pt>
                <c:pt idx="8">
                  <c:v>307</c:v>
                </c:pt>
                <c:pt idx="9">
                  <c:v>464</c:v>
                </c:pt>
                <c:pt idx="10">
                  <c:v>478.5</c:v>
                </c:pt>
                <c:pt idx="11">
                  <c:v>590.5</c:v>
                </c:pt>
                <c:pt idx="12">
                  <c:v>702.5</c:v>
                </c:pt>
                <c:pt idx="13">
                  <c:v>729.5</c:v>
                </c:pt>
                <c:pt idx="14">
                  <c:v>883</c:v>
                </c:pt>
                <c:pt idx="15">
                  <c:v>1831</c:v>
                </c:pt>
                <c:pt idx="16">
                  <c:v>2010.5</c:v>
                </c:pt>
                <c:pt idx="17">
                  <c:v>2842.5</c:v>
                </c:pt>
                <c:pt idx="18">
                  <c:v>2842.5</c:v>
                </c:pt>
                <c:pt idx="19">
                  <c:v>2846</c:v>
                </c:pt>
                <c:pt idx="20">
                  <c:v>2846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437-4801-9039-315C743F40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21.5</c:v>
                </c:pt>
                <c:pt idx="2">
                  <c:v>43.5</c:v>
                </c:pt>
                <c:pt idx="3">
                  <c:v>47</c:v>
                </c:pt>
                <c:pt idx="4">
                  <c:v>56</c:v>
                </c:pt>
                <c:pt idx="5">
                  <c:v>182.5</c:v>
                </c:pt>
                <c:pt idx="6">
                  <c:v>225.5</c:v>
                </c:pt>
                <c:pt idx="7">
                  <c:v>256.5</c:v>
                </c:pt>
                <c:pt idx="8">
                  <c:v>307</c:v>
                </c:pt>
                <c:pt idx="9">
                  <c:v>464</c:v>
                </c:pt>
                <c:pt idx="10">
                  <c:v>478.5</c:v>
                </c:pt>
                <c:pt idx="11">
                  <c:v>590.5</c:v>
                </c:pt>
                <c:pt idx="12">
                  <c:v>702.5</c:v>
                </c:pt>
                <c:pt idx="13">
                  <c:v>729.5</c:v>
                </c:pt>
                <c:pt idx="14">
                  <c:v>883</c:v>
                </c:pt>
                <c:pt idx="15">
                  <c:v>1831</c:v>
                </c:pt>
                <c:pt idx="16">
                  <c:v>2010.5</c:v>
                </c:pt>
                <c:pt idx="17">
                  <c:v>2842.5</c:v>
                </c:pt>
                <c:pt idx="18">
                  <c:v>2842.5</c:v>
                </c:pt>
                <c:pt idx="19">
                  <c:v>2846</c:v>
                </c:pt>
                <c:pt idx="20">
                  <c:v>2846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-5.9969477427823936E-3</c:v>
                </c:pt>
                <c:pt idx="1">
                  <c:v>-5.4696030479088071E-3</c:v>
                </c:pt>
                <c:pt idx="2">
                  <c:v>-4.9299945229218812E-3</c:v>
                </c:pt>
                <c:pt idx="3">
                  <c:v>-4.8441477121285072E-3</c:v>
                </c:pt>
                <c:pt idx="4">
                  <c:v>-4.623398770088401E-3</c:v>
                </c:pt>
                <c:pt idx="5">
                  <c:v>-1.5206497514135778E-3</c:v>
                </c:pt>
                <c:pt idx="6">
                  <c:v>-4.6596036166640566E-4</c:v>
                </c:pt>
                <c:pt idx="7">
                  <c:v>2.9439710536062653E-4</c:v>
                </c:pt>
                <c:pt idx="8">
                  <c:v>1.5330439468078877E-3</c:v>
                </c:pt>
                <c:pt idx="9">
                  <c:v>5.3838866023964028E-3</c:v>
                </c:pt>
                <c:pt idx="10">
                  <c:v>5.7395376756832397E-3</c:v>
                </c:pt>
                <c:pt idx="11">
                  <c:v>8.486635621071225E-3</c:v>
                </c:pt>
                <c:pt idx="12">
                  <c:v>1.1233733566459212E-2</c:v>
                </c:pt>
                <c:pt idx="13">
                  <c:v>1.1895980392579528E-2</c:v>
                </c:pt>
                <c:pt idx="14">
                  <c:v>1.5660976237374669E-2</c:v>
                </c:pt>
                <c:pt idx="15">
                  <c:v>3.8913198132265833E-2</c:v>
                </c:pt>
                <c:pt idx="16">
                  <c:v>4.3315913142954611E-2</c:v>
                </c:pt>
                <c:pt idx="17">
                  <c:v>6.3722926451551073E-2</c:v>
                </c:pt>
                <c:pt idx="18">
                  <c:v>6.3722926451551073E-2</c:v>
                </c:pt>
                <c:pt idx="19">
                  <c:v>6.3808773262344451E-2</c:v>
                </c:pt>
                <c:pt idx="20">
                  <c:v>6.3808773262344451E-2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437-4801-9039-315C743F4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500504"/>
        <c:axId val="1"/>
      </c:scatterChart>
      <c:valAx>
        <c:axId val="716500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500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4734246668278"/>
          <c:y val="0.92024539877300615"/>
          <c:w val="0.6752832228766234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438150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C4DDC1-B428-BC29-72AB-25610CD90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32" TargetMode="External"/><Relationship Id="rId13" Type="http://schemas.openxmlformats.org/officeDocument/2006/relationships/hyperlink" Target="http://www.bav-astro.de/sfs/BAVM_link.php?BAVMnr=152" TargetMode="External"/><Relationship Id="rId3" Type="http://schemas.openxmlformats.org/officeDocument/2006/relationships/hyperlink" Target="http://www.bav-astro.de/sfs/BAVM_link.php?BAVMnr=94" TargetMode="External"/><Relationship Id="rId7" Type="http://schemas.openxmlformats.org/officeDocument/2006/relationships/hyperlink" Target="http://www.bav-astro.de/sfs/BAVM_link.php?BAVMnr=132" TargetMode="External"/><Relationship Id="rId12" Type="http://schemas.openxmlformats.org/officeDocument/2006/relationships/hyperlink" Target="http://www.bav-astro.de/sfs/BAVM_link.php?BAVMnr=152" TargetMode="External"/><Relationship Id="rId2" Type="http://schemas.openxmlformats.org/officeDocument/2006/relationships/hyperlink" Target="http://www.bav-astro.de/sfs/BAVM_link.php?BAVMnr=94" TargetMode="External"/><Relationship Id="rId1" Type="http://schemas.openxmlformats.org/officeDocument/2006/relationships/hyperlink" Target="http://www.bav-astro.de/sfs/BAVM_link.php?BAVMnr=94" TargetMode="External"/><Relationship Id="rId6" Type="http://schemas.openxmlformats.org/officeDocument/2006/relationships/hyperlink" Target="http://www.bav-astro.de/sfs/BAVM_link.php?BAVMnr=132" TargetMode="External"/><Relationship Id="rId11" Type="http://schemas.openxmlformats.org/officeDocument/2006/relationships/hyperlink" Target="http://www.bav-astro.de/sfs/BAVM_link.php?BAVMnr=132" TargetMode="External"/><Relationship Id="rId5" Type="http://schemas.openxmlformats.org/officeDocument/2006/relationships/hyperlink" Target="http://www.bav-astro.de/sfs/BAVM_link.php?BAVMnr=94" TargetMode="External"/><Relationship Id="rId15" Type="http://schemas.openxmlformats.org/officeDocument/2006/relationships/hyperlink" Target="http://www.konkoly.hu/cgi-bin/IBVS?5960" TargetMode="External"/><Relationship Id="rId10" Type="http://schemas.openxmlformats.org/officeDocument/2006/relationships/hyperlink" Target="http://www.bav-astro.de/sfs/BAVM_link.php?BAVMnr=132" TargetMode="External"/><Relationship Id="rId4" Type="http://schemas.openxmlformats.org/officeDocument/2006/relationships/hyperlink" Target="http://www.bav-astro.de/sfs/BAVM_link.php?BAVMnr=94" TargetMode="External"/><Relationship Id="rId9" Type="http://schemas.openxmlformats.org/officeDocument/2006/relationships/hyperlink" Target="http://www.bav-astro.de/sfs/BAVM_link.php?BAVMnr=132" TargetMode="External"/><Relationship Id="rId14" Type="http://schemas.openxmlformats.org/officeDocument/2006/relationships/hyperlink" Target="http://www.bav-astro.de/sfs/BAVM_link.php?BAVMnr=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style="1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64" t="s">
        <v>126</v>
      </c>
      <c r="C1" s="45"/>
    </row>
    <row r="2" spans="1:6" x14ac:dyDescent="0.2">
      <c r="A2" t="s">
        <v>23</v>
      </c>
      <c r="B2" s="14" t="s">
        <v>34</v>
      </c>
    </row>
    <row r="3" spans="1:6" ht="13.5" thickBot="1" x14ac:dyDescent="0.25"/>
    <row r="4" spans="1:6" ht="13.5" thickBot="1" x14ac:dyDescent="0.25">
      <c r="A4" s="4" t="s">
        <v>0</v>
      </c>
      <c r="C4" s="46" t="s">
        <v>30</v>
      </c>
      <c r="D4" s="11" t="s">
        <v>30</v>
      </c>
    </row>
    <row r="5" spans="1:6" x14ac:dyDescent="0.2">
      <c r="A5" s="18" t="s">
        <v>36</v>
      </c>
      <c r="B5" s="14"/>
      <c r="C5" s="61">
        <v>-9.5</v>
      </c>
      <c r="D5" s="14" t="s">
        <v>37</v>
      </c>
    </row>
    <row r="6" spans="1:6" x14ac:dyDescent="0.2">
      <c r="A6" s="4" t="s">
        <v>1</v>
      </c>
      <c r="C6" s="16"/>
    </row>
    <row r="7" spans="1:6" x14ac:dyDescent="0.2">
      <c r="A7" t="s">
        <v>2</v>
      </c>
      <c r="C7" s="63">
        <v>50249.476499999997</v>
      </c>
      <c r="D7" s="12" t="s">
        <v>31</v>
      </c>
    </row>
    <row r="8" spans="1:6" x14ac:dyDescent="0.2">
      <c r="A8" t="s">
        <v>3</v>
      </c>
      <c r="C8" s="63">
        <v>2.5537299999999998</v>
      </c>
      <c r="D8" s="13" t="s">
        <v>32</v>
      </c>
    </row>
    <row r="9" spans="1:6" x14ac:dyDescent="0.2">
      <c r="A9" s="28" t="s">
        <v>41</v>
      </c>
      <c r="B9" s="29">
        <v>21</v>
      </c>
      <c r="C9" s="20" t="str">
        <f>"F"&amp;B9</f>
        <v>F21</v>
      </c>
      <c r="D9" s="21" t="str">
        <f>"G"&amp;B9</f>
        <v>G21</v>
      </c>
    </row>
    <row r="10" spans="1:6" ht="13.5" thickBot="1" x14ac:dyDescent="0.25">
      <c r="A10" s="14"/>
      <c r="B10" s="14"/>
      <c r="C10" s="47" t="s">
        <v>19</v>
      </c>
      <c r="D10" s="3" t="s">
        <v>20</v>
      </c>
      <c r="E10" s="14"/>
    </row>
    <row r="11" spans="1:6" x14ac:dyDescent="0.2">
      <c r="A11" s="14" t="s">
        <v>15</v>
      </c>
      <c r="B11" s="14"/>
      <c r="C11" s="20">
        <f ca="1">INTERCEPT(INDIRECT($D$9):G992,INDIRECT($C$9):F992)</f>
        <v>-5.9969477427823936E-3</v>
      </c>
      <c r="D11" s="2"/>
      <c r="E11" s="14"/>
    </row>
    <row r="12" spans="1:6" x14ac:dyDescent="0.2">
      <c r="A12" s="14" t="s">
        <v>16</v>
      </c>
      <c r="B12" s="14"/>
      <c r="C12" s="20">
        <f ca="1">SLOPE(INDIRECT($D$9):G992,INDIRECT($C$9):F992)</f>
        <v>2.4527660226678441E-5</v>
      </c>
      <c r="D12" s="2"/>
      <c r="E12" s="14"/>
    </row>
    <row r="13" spans="1:6" x14ac:dyDescent="0.2">
      <c r="A13" s="14" t="s">
        <v>18</v>
      </c>
      <c r="B13" s="14"/>
      <c r="C13" s="15" t="s">
        <v>13</v>
      </c>
    </row>
    <row r="14" spans="1:6" x14ac:dyDescent="0.2">
      <c r="A14" s="14"/>
      <c r="B14" s="14"/>
      <c r="C14" s="48"/>
    </row>
    <row r="15" spans="1:6" x14ac:dyDescent="0.2">
      <c r="A15" s="22" t="s">
        <v>17</v>
      </c>
      <c r="B15" s="14"/>
      <c r="C15" s="49">
        <f ca="1">(C7+C11)+(C8+C12)*INT(MAX(F21:F3533))</f>
        <v>57517.455888773256</v>
      </c>
      <c r="E15" s="23" t="s">
        <v>42</v>
      </c>
      <c r="F15" s="19">
        <v>1</v>
      </c>
    </row>
    <row r="16" spans="1:6" x14ac:dyDescent="0.2">
      <c r="A16" s="25" t="s">
        <v>4</v>
      </c>
      <c r="B16" s="14"/>
      <c r="C16" s="50">
        <f ca="1">+C8+C12</f>
        <v>2.5537545276602267</v>
      </c>
      <c r="E16" s="23" t="s">
        <v>38</v>
      </c>
      <c r="F16" s="24">
        <f ca="1">NOW()+15018.5+$C$5/24</f>
        <v>60332.728816782408</v>
      </c>
    </row>
    <row r="17" spans="1:17" ht="13.5" thickBot="1" x14ac:dyDescent="0.25">
      <c r="A17" s="23" t="s">
        <v>35</v>
      </c>
      <c r="B17" s="14"/>
      <c r="C17" s="62">
        <f>COUNT(C21:C2191)</f>
        <v>21</v>
      </c>
      <c r="E17" s="23" t="s">
        <v>43</v>
      </c>
      <c r="F17" s="24">
        <f ca="1">ROUND(2*(F16-$C$7)/$C$8,0)/2+F15</f>
        <v>3949.5</v>
      </c>
    </row>
    <row r="18" spans="1:17" ht="14.25" thickTop="1" thickBot="1" x14ac:dyDescent="0.25">
      <c r="A18" s="25" t="s">
        <v>5</v>
      </c>
      <c r="B18" s="14"/>
      <c r="C18" s="51">
        <f ca="1">+C15</f>
        <v>57517.455888773256</v>
      </c>
      <c r="D18" s="27">
        <f ca="1">+C16</f>
        <v>2.5537545276602267</v>
      </c>
      <c r="E18" s="23" t="s">
        <v>39</v>
      </c>
      <c r="F18" s="21">
        <f ca="1">ROUND(2*(F16-$C$15)/$C$16,0)/2+F15</f>
        <v>1103.5</v>
      </c>
    </row>
    <row r="19" spans="1:17" ht="13.5" thickTop="1" x14ac:dyDescent="0.2">
      <c r="E19" s="23" t="s">
        <v>40</v>
      </c>
      <c r="F19" s="26">
        <f ca="1">+$C$15+$C$16*F18-15018.5-$C$5/24</f>
        <v>45317.419843379656</v>
      </c>
    </row>
    <row r="20" spans="1:17" ht="13.5" thickBot="1" x14ac:dyDescent="0.25">
      <c r="A20" s="3" t="s">
        <v>6</v>
      </c>
      <c r="B20" s="3" t="s">
        <v>7</v>
      </c>
      <c r="C20" s="47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54</v>
      </c>
      <c r="I20" s="6" t="s">
        <v>57</v>
      </c>
      <c r="J20" s="6" t="s">
        <v>51</v>
      </c>
      <c r="K20" s="6" t="s">
        <v>49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</row>
    <row r="21" spans="1:17" x14ac:dyDescent="0.2">
      <c r="A21" t="s">
        <v>33</v>
      </c>
      <c r="B21" s="2"/>
      <c r="C21" s="15">
        <v>50249.476499999997</v>
      </c>
      <c r="D21" s="15"/>
      <c r="E21">
        <f t="shared" ref="E21:E27" si="0">+(C21-C$7)/C$8</f>
        <v>0</v>
      </c>
      <c r="F21">
        <f t="shared" ref="F21:F32" si="1">ROUND(2*E21,0)/2</f>
        <v>0</v>
      </c>
      <c r="G21">
        <f t="shared" ref="G21:G27" si="2">+C21-(C$7+F21*C$8)</f>
        <v>0</v>
      </c>
      <c r="K21">
        <f>+G21</f>
        <v>0</v>
      </c>
      <c r="O21">
        <f t="shared" ref="O21:O27" ca="1" si="3">+C$11+C$12*$F21</f>
        <v>-5.9969477427823936E-3</v>
      </c>
      <c r="Q21" s="1">
        <f t="shared" ref="Q21:Q27" si="4">+C21-15018.5</f>
        <v>35230.976499999997</v>
      </c>
    </row>
    <row r="22" spans="1:17" x14ac:dyDescent="0.2">
      <c r="A22" t="s">
        <v>33</v>
      </c>
      <c r="B22" s="2"/>
      <c r="C22" s="15">
        <v>50304.3891</v>
      </c>
      <c r="D22" s="15"/>
      <c r="E22">
        <f t="shared" si="0"/>
        <v>21.502899680077103</v>
      </c>
      <c r="F22">
        <f t="shared" si="1"/>
        <v>21.5</v>
      </c>
      <c r="G22">
        <f t="shared" si="2"/>
        <v>7.405000003927853E-3</v>
      </c>
      <c r="K22">
        <f>+G22</f>
        <v>7.405000003927853E-3</v>
      </c>
      <c r="O22">
        <f t="shared" ca="1" si="3"/>
        <v>-5.4696030479088071E-3</v>
      </c>
      <c r="Q22" s="1">
        <f t="shared" si="4"/>
        <v>35285.8891</v>
      </c>
    </row>
    <row r="23" spans="1:17" x14ac:dyDescent="0.2">
      <c r="A23" t="s">
        <v>33</v>
      </c>
      <c r="B23" s="2"/>
      <c r="C23" s="15">
        <v>50360.5625</v>
      </c>
      <c r="D23" s="15"/>
      <c r="E23">
        <f t="shared" si="0"/>
        <v>43.499508561986964</v>
      </c>
      <c r="F23">
        <f t="shared" si="1"/>
        <v>43.5</v>
      </c>
      <c r="G23">
        <f t="shared" si="2"/>
        <v>-1.2549999955808744E-3</v>
      </c>
      <c r="K23">
        <f>+G23</f>
        <v>-1.2549999955808744E-3</v>
      </c>
      <c r="O23">
        <f t="shared" ca="1" si="3"/>
        <v>-4.9299945229218812E-3</v>
      </c>
      <c r="Q23" s="1">
        <f t="shared" si="4"/>
        <v>35342.0625</v>
      </c>
    </row>
    <row r="24" spans="1:17" x14ac:dyDescent="0.2">
      <c r="A24" t="s">
        <v>33</v>
      </c>
      <c r="B24" s="2"/>
      <c r="C24" s="15">
        <v>50369.502200000003</v>
      </c>
      <c r="D24" s="15"/>
      <c r="E24">
        <f t="shared" si="0"/>
        <v>47.000152717791465</v>
      </c>
      <c r="F24">
        <f t="shared" si="1"/>
        <v>47</v>
      </c>
      <c r="G24">
        <f t="shared" si="2"/>
        <v>3.9000000833766535E-4</v>
      </c>
      <c r="K24">
        <f>+G24</f>
        <v>3.9000000833766535E-4</v>
      </c>
      <c r="O24">
        <f t="shared" ca="1" si="3"/>
        <v>-4.8441477121285072E-3</v>
      </c>
      <c r="Q24" s="1">
        <f t="shared" si="4"/>
        <v>35351.002200000003</v>
      </c>
    </row>
    <row r="25" spans="1:17" x14ac:dyDescent="0.2">
      <c r="A25" t="s">
        <v>33</v>
      </c>
      <c r="B25" s="2"/>
      <c r="C25" s="15">
        <v>50392.484299999996</v>
      </c>
      <c r="D25" s="15"/>
      <c r="E25">
        <f t="shared" si="0"/>
        <v>55.999577089198709</v>
      </c>
      <c r="F25">
        <f t="shared" si="1"/>
        <v>56</v>
      </c>
      <c r="G25">
        <f t="shared" si="2"/>
        <v>-1.0800000018207356E-3</v>
      </c>
      <c r="K25">
        <f>+G25</f>
        <v>-1.0800000018207356E-3</v>
      </c>
      <c r="O25">
        <f t="shared" ca="1" si="3"/>
        <v>-4.623398770088401E-3</v>
      </c>
      <c r="Q25" s="1">
        <f t="shared" si="4"/>
        <v>35373.984299999996</v>
      </c>
    </row>
    <row r="26" spans="1:17" x14ac:dyDescent="0.2">
      <c r="A26" s="7" t="s">
        <v>27</v>
      </c>
      <c r="B26" s="8" t="s">
        <v>28</v>
      </c>
      <c r="C26" s="16">
        <v>50715.520600000003</v>
      </c>
      <c r="D26" s="16">
        <v>1.6999999999999999E-3</v>
      </c>
      <c r="E26">
        <f t="shared" si="0"/>
        <v>182.49544783512997</v>
      </c>
      <c r="F26">
        <f t="shared" si="1"/>
        <v>182.5</v>
      </c>
      <c r="G26">
        <f t="shared" si="2"/>
        <v>-1.1624999991909135E-2</v>
      </c>
      <c r="J26">
        <f t="shared" ref="J26:J32" si="5">+G26</f>
        <v>-1.1624999991909135E-2</v>
      </c>
      <c r="O26">
        <f t="shared" ca="1" si="3"/>
        <v>-1.5206497514135778E-3</v>
      </c>
      <c r="Q26" s="1">
        <f t="shared" si="4"/>
        <v>35697.020600000003</v>
      </c>
    </row>
    <row r="27" spans="1:17" x14ac:dyDescent="0.2">
      <c r="A27" s="7" t="s">
        <v>27</v>
      </c>
      <c r="B27" s="8" t="s">
        <v>28</v>
      </c>
      <c r="C27" s="16">
        <v>50825.330800000003</v>
      </c>
      <c r="D27" s="16">
        <v>5.0000000000000001E-4</v>
      </c>
      <c r="E27">
        <f t="shared" si="0"/>
        <v>225.49537343415568</v>
      </c>
      <c r="F27">
        <f t="shared" si="1"/>
        <v>225.5</v>
      </c>
      <c r="G27">
        <f t="shared" si="2"/>
        <v>-1.181499999074731E-2</v>
      </c>
      <c r="J27">
        <f t="shared" si="5"/>
        <v>-1.181499999074731E-2</v>
      </c>
      <c r="O27">
        <f t="shared" ca="1" si="3"/>
        <v>-4.6596036166640566E-4</v>
      </c>
      <c r="Q27" s="1">
        <f t="shared" si="4"/>
        <v>35806.830800000003</v>
      </c>
    </row>
    <row r="28" spans="1:17" x14ac:dyDescent="0.2">
      <c r="A28" s="7" t="s">
        <v>27</v>
      </c>
      <c r="B28" s="8" t="s">
        <v>28</v>
      </c>
      <c r="C28" s="16">
        <v>50904.505400000002</v>
      </c>
      <c r="D28" s="16">
        <v>1.5E-3</v>
      </c>
      <c r="E28">
        <f t="shared" ref="E28:E41" si="6">+(C28-C$7)/C$8</f>
        <v>256.49888594330838</v>
      </c>
      <c r="F28">
        <f t="shared" si="1"/>
        <v>256.5</v>
      </c>
      <c r="G28">
        <f t="shared" ref="G28:G41" si="7">+C28-(C$7+F28*C$8)</f>
        <v>-2.8449999954318628E-3</v>
      </c>
      <c r="J28">
        <f t="shared" si="5"/>
        <v>-2.8449999954318628E-3</v>
      </c>
      <c r="O28">
        <f t="shared" ref="O28:O41" ca="1" si="8">+C$11+C$12*$F28</f>
        <v>2.9439710536062653E-4</v>
      </c>
      <c r="Q28" s="1">
        <f t="shared" ref="Q28:Q41" si="9">+C28-15018.5</f>
        <v>35886.005400000002</v>
      </c>
    </row>
    <row r="29" spans="1:17" x14ac:dyDescent="0.2">
      <c r="A29" s="7" t="s">
        <v>27</v>
      </c>
      <c r="B29" s="9"/>
      <c r="C29" s="17">
        <v>51033.474000000002</v>
      </c>
      <c r="D29" s="16">
        <v>2E-3</v>
      </c>
      <c r="E29">
        <f t="shared" si="6"/>
        <v>307.00093588594137</v>
      </c>
      <c r="F29">
        <f t="shared" si="1"/>
        <v>307</v>
      </c>
      <c r="G29">
        <f t="shared" si="7"/>
        <v>2.3900000014691614E-3</v>
      </c>
      <c r="J29">
        <f t="shared" si="5"/>
        <v>2.3900000014691614E-3</v>
      </c>
      <c r="O29">
        <f t="shared" ca="1" si="8"/>
        <v>1.5330439468078877E-3</v>
      </c>
      <c r="Q29" s="1">
        <f t="shared" si="9"/>
        <v>36014.974000000002</v>
      </c>
    </row>
    <row r="30" spans="1:17" x14ac:dyDescent="0.2">
      <c r="A30" s="7" t="s">
        <v>27</v>
      </c>
      <c r="B30" s="9"/>
      <c r="C30" s="16">
        <v>51434.405100000004</v>
      </c>
      <c r="D30" s="16">
        <v>1E-3</v>
      </c>
      <c r="E30">
        <f t="shared" si="6"/>
        <v>463.99916984176349</v>
      </c>
      <c r="F30">
        <f t="shared" si="1"/>
        <v>464</v>
      </c>
      <c r="G30">
        <f t="shared" si="7"/>
        <v>-2.119999990100041E-3</v>
      </c>
      <c r="J30">
        <f t="shared" si="5"/>
        <v>-2.119999990100041E-3</v>
      </c>
      <c r="O30">
        <f t="shared" ca="1" si="8"/>
        <v>5.3838866023964028E-3</v>
      </c>
      <c r="Q30" s="1">
        <f t="shared" si="9"/>
        <v>36415.905100000004</v>
      </c>
    </row>
    <row r="31" spans="1:17" x14ac:dyDescent="0.2">
      <c r="A31" s="7" t="s">
        <v>27</v>
      </c>
      <c r="B31" s="8" t="s">
        <v>28</v>
      </c>
      <c r="C31" s="16">
        <v>51471.440399999999</v>
      </c>
      <c r="D31" s="16">
        <v>5.9999999999999995E-4</v>
      </c>
      <c r="E31">
        <f t="shared" si="6"/>
        <v>478.50160353678837</v>
      </c>
      <c r="F31">
        <f t="shared" si="1"/>
        <v>478.5</v>
      </c>
      <c r="G31">
        <f t="shared" si="7"/>
        <v>4.0950000038719736E-3</v>
      </c>
      <c r="J31">
        <f t="shared" si="5"/>
        <v>4.0950000038719736E-3</v>
      </c>
      <c r="O31">
        <f t="shared" ca="1" si="8"/>
        <v>5.7395376756832397E-3</v>
      </c>
      <c r="Q31" s="1">
        <f t="shared" si="9"/>
        <v>36452.940399999999</v>
      </c>
    </row>
    <row r="32" spans="1:17" x14ac:dyDescent="0.2">
      <c r="A32" s="10" t="s">
        <v>29</v>
      </c>
      <c r="B32" s="8" t="s">
        <v>28</v>
      </c>
      <c r="C32" s="16">
        <v>51757.453300000001</v>
      </c>
      <c r="D32" s="16">
        <v>8.0000000000000004E-4</v>
      </c>
      <c r="E32">
        <f t="shared" si="6"/>
        <v>590.49970043818416</v>
      </c>
      <c r="F32">
        <f t="shared" si="1"/>
        <v>590.5</v>
      </c>
      <c r="G32">
        <f t="shared" si="7"/>
        <v>-7.6499999704537913E-4</v>
      </c>
      <c r="J32">
        <f t="shared" si="5"/>
        <v>-7.6499999704537913E-4</v>
      </c>
      <c r="O32">
        <f t="shared" ca="1" si="8"/>
        <v>8.486635621071225E-3</v>
      </c>
      <c r="Q32" s="1">
        <f t="shared" si="9"/>
        <v>36738.953300000001</v>
      </c>
    </row>
    <row r="33" spans="1:17" x14ac:dyDescent="0.2">
      <c r="A33" s="10" t="s">
        <v>29</v>
      </c>
      <c r="B33" s="8" t="s">
        <v>28</v>
      </c>
      <c r="C33" s="16">
        <v>52043.486599999997</v>
      </c>
      <c r="D33" s="16">
        <v>5.0000000000000001E-4</v>
      </c>
      <c r="E33">
        <f t="shared" si="6"/>
        <v>702.5057856547088</v>
      </c>
      <c r="F33">
        <f t="shared" ref="F33:F41" si="10">ROUND(2*E33,0)/2</f>
        <v>702.5</v>
      </c>
      <c r="G33">
        <f t="shared" si="7"/>
        <v>1.4774999996006954E-2</v>
      </c>
      <c r="J33">
        <f>+G33</f>
        <v>1.4774999996006954E-2</v>
      </c>
      <c r="O33">
        <f t="shared" ca="1" si="8"/>
        <v>1.1233733566459212E-2</v>
      </c>
      <c r="Q33" s="1">
        <f t="shared" si="9"/>
        <v>37024.986599999997</v>
      </c>
    </row>
    <row r="34" spans="1:17" x14ac:dyDescent="0.2">
      <c r="A34" t="s">
        <v>108</v>
      </c>
      <c r="B34" s="2" t="s">
        <v>28</v>
      </c>
      <c r="C34" s="15">
        <v>52112.438000000002</v>
      </c>
      <c r="D34" s="15" t="s">
        <v>57</v>
      </c>
      <c r="E34">
        <f t="shared" si="6"/>
        <v>729.50605584772279</v>
      </c>
      <c r="F34">
        <f t="shared" si="10"/>
        <v>729.5</v>
      </c>
      <c r="G34">
        <f t="shared" si="7"/>
        <v>1.546500000404194E-2</v>
      </c>
      <c r="I34">
        <f>+G34</f>
        <v>1.546500000404194E-2</v>
      </c>
      <c r="O34">
        <f t="shared" ca="1" si="8"/>
        <v>1.1895980392579528E-2</v>
      </c>
      <c r="Q34" s="1">
        <f t="shared" si="9"/>
        <v>37093.938000000002</v>
      </c>
    </row>
    <row r="35" spans="1:17" x14ac:dyDescent="0.2">
      <c r="A35" t="s">
        <v>112</v>
      </c>
      <c r="B35" s="2" t="s">
        <v>46</v>
      </c>
      <c r="C35" s="15">
        <v>52504.438000000002</v>
      </c>
      <c r="D35" s="15" t="s">
        <v>57</v>
      </c>
      <c r="E35">
        <f t="shared" si="6"/>
        <v>883.00701327078627</v>
      </c>
      <c r="F35">
        <f t="shared" si="10"/>
        <v>883</v>
      </c>
      <c r="G35">
        <f t="shared" si="7"/>
        <v>1.7910000002302695E-2</v>
      </c>
      <c r="I35">
        <f>+G35</f>
        <v>1.7910000002302695E-2</v>
      </c>
      <c r="O35">
        <f t="shared" ca="1" si="8"/>
        <v>1.5660976237374669E-2</v>
      </c>
      <c r="Q35" s="1">
        <f t="shared" si="9"/>
        <v>37485.938000000002</v>
      </c>
    </row>
    <row r="36" spans="1:17" x14ac:dyDescent="0.2">
      <c r="A36" s="30" t="s">
        <v>45</v>
      </c>
      <c r="B36" s="31" t="s">
        <v>46</v>
      </c>
      <c r="C36" s="30">
        <v>54925.399799999999</v>
      </c>
      <c r="D36" s="30">
        <v>1.4E-3</v>
      </c>
      <c r="E36">
        <f t="shared" si="6"/>
        <v>1831.0171004765589</v>
      </c>
      <c r="F36">
        <f t="shared" si="10"/>
        <v>1831</v>
      </c>
      <c r="G36">
        <f t="shared" si="7"/>
        <v>4.3669999999110587E-2</v>
      </c>
      <c r="J36">
        <f>+G36</f>
        <v>4.3669999999110587E-2</v>
      </c>
      <c r="O36">
        <f t="shared" ca="1" si="8"/>
        <v>3.8913198132265833E-2</v>
      </c>
      <c r="Q36" s="1">
        <f t="shared" si="9"/>
        <v>39906.899799999999</v>
      </c>
    </row>
    <row r="37" spans="1:17" x14ac:dyDescent="0.2">
      <c r="A37" s="52" t="s">
        <v>44</v>
      </c>
      <c r="B37" s="53" t="s">
        <v>28</v>
      </c>
      <c r="C37" s="54">
        <v>55383.785100000001</v>
      </c>
      <c r="D37" s="54">
        <v>5.0000000000000001E-4</v>
      </c>
      <c r="E37">
        <f t="shared" si="6"/>
        <v>2010.5134841976262</v>
      </c>
      <c r="F37">
        <f t="shared" si="10"/>
        <v>2010.5</v>
      </c>
      <c r="G37">
        <f t="shared" si="7"/>
        <v>3.4435000001394656E-2</v>
      </c>
      <c r="K37">
        <f>+G37</f>
        <v>3.4435000001394656E-2</v>
      </c>
      <c r="O37">
        <f t="shared" ca="1" si="8"/>
        <v>4.3315913142954611E-2</v>
      </c>
      <c r="Q37" s="1">
        <f t="shared" si="9"/>
        <v>40365.285100000001</v>
      </c>
    </row>
    <row r="38" spans="1:17" x14ac:dyDescent="0.2">
      <c r="A38" s="55" t="s">
        <v>124</v>
      </c>
      <c r="B38" s="56" t="s">
        <v>28</v>
      </c>
      <c r="C38" s="57">
        <v>57508.518660000002</v>
      </c>
      <c r="D38" s="57">
        <v>2.9999999999999997E-4</v>
      </c>
      <c r="E38">
        <f t="shared" si="6"/>
        <v>2842.5253100366936</v>
      </c>
      <c r="F38">
        <f t="shared" si="10"/>
        <v>2842.5</v>
      </c>
      <c r="G38">
        <f t="shared" si="7"/>
        <v>6.4635000002454035E-2</v>
      </c>
      <c r="K38">
        <f>+G38</f>
        <v>6.4635000002454035E-2</v>
      </c>
      <c r="O38">
        <f t="shared" ca="1" si="8"/>
        <v>6.3722926451551073E-2</v>
      </c>
      <c r="Q38" s="1">
        <f t="shared" si="9"/>
        <v>42490.018660000002</v>
      </c>
    </row>
    <row r="39" spans="1:17" x14ac:dyDescent="0.2">
      <c r="A39" s="58" t="s">
        <v>125</v>
      </c>
      <c r="B39" s="59" t="s">
        <v>28</v>
      </c>
      <c r="C39" s="60">
        <v>57508.51875999989</v>
      </c>
      <c r="D39" s="60">
        <v>2.9999999999999997E-4</v>
      </c>
      <c r="E39">
        <f t="shared" si="6"/>
        <v>2842.5253491950571</v>
      </c>
      <c r="F39">
        <f t="shared" si="10"/>
        <v>2842.5</v>
      </c>
      <c r="G39">
        <f t="shared" si="7"/>
        <v>6.4734999890788458E-2</v>
      </c>
      <c r="K39">
        <f>+G39</f>
        <v>6.4734999890788458E-2</v>
      </c>
      <c r="O39">
        <f t="shared" ca="1" si="8"/>
        <v>6.3722926451551073E-2</v>
      </c>
      <c r="Q39" s="1">
        <f t="shared" si="9"/>
        <v>42490.01875999989</v>
      </c>
    </row>
    <row r="40" spans="1:17" x14ac:dyDescent="0.2">
      <c r="A40" s="55" t="s">
        <v>124</v>
      </c>
      <c r="B40" s="56" t="s">
        <v>46</v>
      </c>
      <c r="C40" s="57">
        <v>57517.457690000003</v>
      </c>
      <c r="D40" s="57">
        <v>5.0000000000000001E-4</v>
      </c>
      <c r="E40">
        <f t="shared" si="6"/>
        <v>2846.025691831167</v>
      </c>
      <c r="F40">
        <f t="shared" si="10"/>
        <v>2846</v>
      </c>
      <c r="G40">
        <f t="shared" si="7"/>
        <v>6.5610000005108304E-2</v>
      </c>
      <c r="K40">
        <f>+G40</f>
        <v>6.5610000005108304E-2</v>
      </c>
      <c r="O40">
        <f t="shared" ca="1" si="8"/>
        <v>6.3808773262344451E-2</v>
      </c>
      <c r="Q40" s="1">
        <f t="shared" si="9"/>
        <v>42498.957690000003</v>
      </c>
    </row>
    <row r="41" spans="1:17" x14ac:dyDescent="0.2">
      <c r="A41" s="58" t="s">
        <v>125</v>
      </c>
      <c r="B41" s="59" t="s">
        <v>46</v>
      </c>
      <c r="C41" s="60">
        <v>57517.457739999983</v>
      </c>
      <c r="D41" s="60">
        <v>5.0000000000000001E-4</v>
      </c>
      <c r="E41">
        <f t="shared" si="6"/>
        <v>2846.0257114103633</v>
      </c>
      <c r="F41">
        <f t="shared" si="10"/>
        <v>2846</v>
      </c>
      <c r="G41">
        <f t="shared" si="7"/>
        <v>6.5659999985655304E-2</v>
      </c>
      <c r="K41">
        <f>+G41</f>
        <v>6.5659999985655304E-2</v>
      </c>
      <c r="O41">
        <f t="shared" ca="1" si="8"/>
        <v>6.3808773262344451E-2</v>
      </c>
      <c r="Q41" s="1">
        <f t="shared" si="9"/>
        <v>42498.957739999983</v>
      </c>
    </row>
    <row r="42" spans="1:17" x14ac:dyDescent="0.2">
      <c r="D42" s="2"/>
    </row>
    <row r="43" spans="1:17" x14ac:dyDescent="0.2">
      <c r="D43" s="2"/>
    </row>
    <row r="44" spans="1:17" x14ac:dyDescent="0.2">
      <c r="D44" s="2"/>
    </row>
    <row r="45" spans="1:17" x14ac:dyDescent="0.2">
      <c r="D45" s="2"/>
    </row>
    <row r="46" spans="1:17" x14ac:dyDescent="0.2">
      <c r="D46" s="2"/>
    </row>
    <row r="47" spans="1:17" x14ac:dyDescent="0.2">
      <c r="D47" s="2"/>
    </row>
    <row r="48" spans="1:17" x14ac:dyDescent="0.2">
      <c r="D48" s="2"/>
    </row>
    <row r="49" spans="4:4" x14ac:dyDescent="0.2">
      <c r="D49" s="2"/>
    </row>
  </sheetData>
  <protectedRanges>
    <protectedRange sqref="A40:D41" name="Range1"/>
  </protectedRanges>
  <phoneticPr fontId="6" type="noConversion"/>
  <hyperlinks>
    <hyperlink ref="H1934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4"/>
  <sheetViews>
    <sheetView topLeftCell="A7" workbookViewId="0">
      <selection activeCell="A26" sqref="A26:D27"/>
    </sheetView>
  </sheetViews>
  <sheetFormatPr defaultRowHeight="12.75" x14ac:dyDescent="0.2"/>
  <cols>
    <col min="1" max="1" width="19.7109375" style="15" customWidth="1"/>
    <col min="2" max="2" width="4.42578125" style="14" customWidth="1"/>
    <col min="3" max="3" width="12.7109375" style="15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15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2" t="s">
        <v>47</v>
      </c>
      <c r="I1" s="33" t="s">
        <v>48</v>
      </c>
      <c r="J1" s="34" t="s">
        <v>49</v>
      </c>
    </row>
    <row r="2" spans="1:16" x14ac:dyDescent="0.2">
      <c r="I2" s="35" t="s">
        <v>50</v>
      </c>
      <c r="J2" s="36" t="s">
        <v>51</v>
      </c>
    </row>
    <row r="3" spans="1:16" x14ac:dyDescent="0.2">
      <c r="A3" s="37" t="s">
        <v>52</v>
      </c>
      <c r="I3" s="35" t="s">
        <v>53</v>
      </c>
      <c r="J3" s="36" t="s">
        <v>54</v>
      </c>
    </row>
    <row r="4" spans="1:16" x14ac:dyDescent="0.2">
      <c r="I4" s="35" t="s">
        <v>55</v>
      </c>
      <c r="J4" s="36" t="s">
        <v>54</v>
      </c>
    </row>
    <row r="5" spans="1:16" ht="13.5" thickBot="1" x14ac:dyDescent="0.25">
      <c r="I5" s="38" t="s">
        <v>56</v>
      </c>
      <c r="J5" s="39" t="s">
        <v>57</v>
      </c>
    </row>
    <row r="10" spans="1:16" ht="13.5" thickBot="1" x14ac:dyDescent="0.25"/>
    <row r="11" spans="1:16" ht="12.75" customHeight="1" thickBot="1" x14ac:dyDescent="0.25">
      <c r="A11" s="15" t="str">
        <f t="shared" ref="A11:A27" si="0">P11</f>
        <v>BAVM 94 </v>
      </c>
      <c r="B11" s="2" t="str">
        <f t="shared" ref="B11:B27" si="1">IF(H11=INT(H11),"I","II")</f>
        <v>I</v>
      </c>
      <c r="C11" s="15">
        <f t="shared" ref="C11:C27" si="2">1*G11</f>
        <v>50249.476499999997</v>
      </c>
      <c r="D11" s="14" t="str">
        <f t="shared" ref="D11:D27" si="3">VLOOKUP(F11,I$1:J$5,2,FALSE)</f>
        <v>vis</v>
      </c>
      <c r="E11" s="40">
        <f>VLOOKUP(C11,Active!C$21:E$973,3,FALSE)</f>
        <v>0</v>
      </c>
      <c r="F11" s="2" t="s">
        <v>56</v>
      </c>
      <c r="G11" s="14" t="str">
        <f t="shared" ref="G11:G27" si="4">MID(I11,3,LEN(I11)-3)</f>
        <v>50249.4765</v>
      </c>
      <c r="H11" s="15">
        <f t="shared" ref="H11:H27" si="5">1*K11</f>
        <v>-882</v>
      </c>
      <c r="I11" s="41" t="s">
        <v>58</v>
      </c>
      <c r="J11" s="42" t="s">
        <v>59</v>
      </c>
      <c r="K11" s="41">
        <v>-882</v>
      </c>
      <c r="L11" s="41" t="s">
        <v>60</v>
      </c>
      <c r="M11" s="42" t="s">
        <v>61</v>
      </c>
      <c r="N11" s="42" t="s">
        <v>62</v>
      </c>
      <c r="O11" s="43" t="s">
        <v>63</v>
      </c>
      <c r="P11" s="44" t="s">
        <v>64</v>
      </c>
    </row>
    <row r="12" spans="1:16" ht="12.75" customHeight="1" thickBot="1" x14ac:dyDescent="0.25">
      <c r="A12" s="15" t="str">
        <f t="shared" si="0"/>
        <v>BAVM 94 </v>
      </c>
      <c r="B12" s="2" t="str">
        <f t="shared" si="1"/>
        <v>II</v>
      </c>
      <c r="C12" s="15">
        <f t="shared" si="2"/>
        <v>50304.3891</v>
      </c>
      <c r="D12" s="14" t="str">
        <f t="shared" si="3"/>
        <v>vis</v>
      </c>
      <c r="E12" s="40">
        <f>VLOOKUP(C12,Active!C$21:E$973,3,FALSE)</f>
        <v>21.502899680077103</v>
      </c>
      <c r="F12" s="2" t="s">
        <v>56</v>
      </c>
      <c r="G12" s="14" t="str">
        <f t="shared" si="4"/>
        <v>50304.3891</v>
      </c>
      <c r="H12" s="15">
        <f t="shared" si="5"/>
        <v>-860.5</v>
      </c>
      <c r="I12" s="41" t="s">
        <v>65</v>
      </c>
      <c r="J12" s="42" t="s">
        <v>66</v>
      </c>
      <c r="K12" s="41">
        <v>-860.5</v>
      </c>
      <c r="L12" s="41" t="s">
        <v>67</v>
      </c>
      <c r="M12" s="42" t="s">
        <v>61</v>
      </c>
      <c r="N12" s="42" t="s">
        <v>62</v>
      </c>
      <c r="O12" s="43" t="s">
        <v>63</v>
      </c>
      <c r="P12" s="44" t="s">
        <v>64</v>
      </c>
    </row>
    <row r="13" spans="1:16" ht="12.75" customHeight="1" thickBot="1" x14ac:dyDescent="0.25">
      <c r="A13" s="15" t="str">
        <f t="shared" si="0"/>
        <v>BAVM 94 </v>
      </c>
      <c r="B13" s="2" t="str">
        <f t="shared" si="1"/>
        <v>II</v>
      </c>
      <c r="C13" s="15">
        <f t="shared" si="2"/>
        <v>50360.5625</v>
      </c>
      <c r="D13" s="14" t="str">
        <f t="shared" si="3"/>
        <v>vis</v>
      </c>
      <c r="E13" s="40">
        <f>VLOOKUP(C13,Active!C$21:E$973,3,FALSE)</f>
        <v>43.499508561986964</v>
      </c>
      <c r="F13" s="2" t="s">
        <v>56</v>
      </c>
      <c r="G13" s="14" t="str">
        <f t="shared" si="4"/>
        <v>50360.5625</v>
      </c>
      <c r="H13" s="15">
        <f t="shared" si="5"/>
        <v>-838.5</v>
      </c>
      <c r="I13" s="41" t="s">
        <v>68</v>
      </c>
      <c r="J13" s="42" t="s">
        <v>69</v>
      </c>
      <c r="K13" s="41">
        <v>-838.5</v>
      </c>
      <c r="L13" s="41" t="s">
        <v>70</v>
      </c>
      <c r="M13" s="42" t="s">
        <v>61</v>
      </c>
      <c r="N13" s="42" t="s">
        <v>62</v>
      </c>
      <c r="O13" s="43" t="s">
        <v>63</v>
      </c>
      <c r="P13" s="44" t="s">
        <v>64</v>
      </c>
    </row>
    <row r="14" spans="1:16" ht="12.75" customHeight="1" thickBot="1" x14ac:dyDescent="0.25">
      <c r="A14" s="15" t="str">
        <f t="shared" si="0"/>
        <v>BAVM 94 </v>
      </c>
      <c r="B14" s="2" t="str">
        <f t="shared" si="1"/>
        <v>I</v>
      </c>
      <c r="C14" s="15">
        <f t="shared" si="2"/>
        <v>50369.502200000003</v>
      </c>
      <c r="D14" s="14" t="str">
        <f t="shared" si="3"/>
        <v>vis</v>
      </c>
      <c r="E14" s="40">
        <f>VLOOKUP(C14,Active!C$21:E$973,3,FALSE)</f>
        <v>47.000152717791465</v>
      </c>
      <c r="F14" s="2" t="s">
        <v>56</v>
      </c>
      <c r="G14" s="14" t="str">
        <f t="shared" si="4"/>
        <v>50369.5022</v>
      </c>
      <c r="H14" s="15">
        <f t="shared" si="5"/>
        <v>-835</v>
      </c>
      <c r="I14" s="41" t="s">
        <v>71</v>
      </c>
      <c r="J14" s="42" t="s">
        <v>72</v>
      </c>
      <c r="K14" s="41">
        <v>-835</v>
      </c>
      <c r="L14" s="41" t="s">
        <v>73</v>
      </c>
      <c r="M14" s="42" t="s">
        <v>61</v>
      </c>
      <c r="N14" s="42" t="s">
        <v>62</v>
      </c>
      <c r="O14" s="43" t="s">
        <v>63</v>
      </c>
      <c r="P14" s="44" t="s">
        <v>64</v>
      </c>
    </row>
    <row r="15" spans="1:16" ht="12.75" customHeight="1" thickBot="1" x14ac:dyDescent="0.25">
      <c r="A15" s="15" t="str">
        <f t="shared" si="0"/>
        <v>BAVM 94 </v>
      </c>
      <c r="B15" s="2" t="str">
        <f t="shared" si="1"/>
        <v>I</v>
      </c>
      <c r="C15" s="15">
        <f t="shared" si="2"/>
        <v>50392.484299999996</v>
      </c>
      <c r="D15" s="14" t="str">
        <f t="shared" si="3"/>
        <v>vis</v>
      </c>
      <c r="E15" s="40">
        <f>VLOOKUP(C15,Active!C$21:E$973,3,FALSE)</f>
        <v>55.999577089198709</v>
      </c>
      <c r="F15" s="2" t="s">
        <v>56</v>
      </c>
      <c r="G15" s="14" t="str">
        <f t="shared" si="4"/>
        <v>50392.4843</v>
      </c>
      <c r="H15" s="15">
        <f t="shared" si="5"/>
        <v>-826</v>
      </c>
      <c r="I15" s="41" t="s">
        <v>74</v>
      </c>
      <c r="J15" s="42" t="s">
        <v>75</v>
      </c>
      <c r="K15" s="41">
        <v>-826</v>
      </c>
      <c r="L15" s="41" t="s">
        <v>76</v>
      </c>
      <c r="M15" s="42" t="s">
        <v>61</v>
      </c>
      <c r="N15" s="42" t="s">
        <v>62</v>
      </c>
      <c r="O15" s="43" t="s">
        <v>63</v>
      </c>
      <c r="P15" s="44" t="s">
        <v>64</v>
      </c>
    </row>
    <row r="16" spans="1:16" ht="12.75" customHeight="1" thickBot="1" x14ac:dyDescent="0.25">
      <c r="A16" s="15" t="str">
        <f t="shared" si="0"/>
        <v>BAVM 132 </v>
      </c>
      <c r="B16" s="2" t="str">
        <f t="shared" si="1"/>
        <v>II</v>
      </c>
      <c r="C16" s="15">
        <f t="shared" si="2"/>
        <v>50715.520600000003</v>
      </c>
      <c r="D16" s="14" t="str">
        <f t="shared" si="3"/>
        <v>vis</v>
      </c>
      <c r="E16" s="40">
        <f>VLOOKUP(C16,Active!C$21:E$973,3,FALSE)</f>
        <v>182.49544783512997</v>
      </c>
      <c r="F16" s="2" t="s">
        <v>56</v>
      </c>
      <c r="G16" s="14" t="str">
        <f t="shared" si="4"/>
        <v>50715.5206</v>
      </c>
      <c r="H16" s="15">
        <f t="shared" si="5"/>
        <v>-699.5</v>
      </c>
      <c r="I16" s="41" t="s">
        <v>77</v>
      </c>
      <c r="J16" s="42" t="s">
        <v>78</v>
      </c>
      <c r="K16" s="41">
        <v>-699.5</v>
      </c>
      <c r="L16" s="41" t="s">
        <v>79</v>
      </c>
      <c r="M16" s="42" t="s">
        <v>61</v>
      </c>
      <c r="N16" s="42" t="s">
        <v>62</v>
      </c>
      <c r="O16" s="43" t="s">
        <v>63</v>
      </c>
      <c r="P16" s="44" t="s">
        <v>80</v>
      </c>
    </row>
    <row r="17" spans="1:16" ht="12.75" customHeight="1" thickBot="1" x14ac:dyDescent="0.25">
      <c r="A17" s="15" t="str">
        <f t="shared" si="0"/>
        <v>BAVM 132 </v>
      </c>
      <c r="B17" s="2" t="str">
        <f t="shared" si="1"/>
        <v>II</v>
      </c>
      <c r="C17" s="15">
        <f t="shared" si="2"/>
        <v>50825.330800000003</v>
      </c>
      <c r="D17" s="14" t="str">
        <f t="shared" si="3"/>
        <v>vis</v>
      </c>
      <c r="E17" s="40">
        <f>VLOOKUP(C17,Active!C$21:E$973,3,FALSE)</f>
        <v>225.49537343415568</v>
      </c>
      <c r="F17" s="2" t="s">
        <v>56</v>
      </c>
      <c r="G17" s="14" t="str">
        <f t="shared" si="4"/>
        <v>50825.3308</v>
      </c>
      <c r="H17" s="15">
        <f t="shared" si="5"/>
        <v>-656.5</v>
      </c>
      <c r="I17" s="41" t="s">
        <v>81</v>
      </c>
      <c r="J17" s="42" t="s">
        <v>82</v>
      </c>
      <c r="K17" s="41">
        <v>-656.5</v>
      </c>
      <c r="L17" s="41" t="s">
        <v>83</v>
      </c>
      <c r="M17" s="42" t="s">
        <v>61</v>
      </c>
      <c r="N17" s="42" t="s">
        <v>62</v>
      </c>
      <c r="O17" s="43" t="s">
        <v>63</v>
      </c>
      <c r="P17" s="44" t="s">
        <v>80</v>
      </c>
    </row>
    <row r="18" spans="1:16" ht="12.75" customHeight="1" thickBot="1" x14ac:dyDescent="0.25">
      <c r="A18" s="15" t="str">
        <f t="shared" si="0"/>
        <v>BAVM 132 </v>
      </c>
      <c r="B18" s="2" t="str">
        <f t="shared" si="1"/>
        <v>II</v>
      </c>
      <c r="C18" s="15">
        <f t="shared" si="2"/>
        <v>50904.505400000002</v>
      </c>
      <c r="D18" s="14" t="str">
        <f t="shared" si="3"/>
        <v>vis</v>
      </c>
      <c r="E18" s="40">
        <f>VLOOKUP(C18,Active!C$21:E$973,3,FALSE)</f>
        <v>256.49888594330838</v>
      </c>
      <c r="F18" s="2" t="s">
        <v>56</v>
      </c>
      <c r="G18" s="14" t="str">
        <f t="shared" si="4"/>
        <v>50904.5054</v>
      </c>
      <c r="H18" s="15">
        <f t="shared" si="5"/>
        <v>-625.5</v>
      </c>
      <c r="I18" s="41" t="s">
        <v>84</v>
      </c>
      <c r="J18" s="42" t="s">
        <v>85</v>
      </c>
      <c r="K18" s="41">
        <v>-625.5</v>
      </c>
      <c r="L18" s="41" t="s">
        <v>86</v>
      </c>
      <c r="M18" s="42" t="s">
        <v>61</v>
      </c>
      <c r="N18" s="42" t="s">
        <v>62</v>
      </c>
      <c r="O18" s="43" t="s">
        <v>63</v>
      </c>
      <c r="P18" s="44" t="s">
        <v>80</v>
      </c>
    </row>
    <row r="19" spans="1:16" ht="12.75" customHeight="1" thickBot="1" x14ac:dyDescent="0.25">
      <c r="A19" s="15" t="str">
        <f t="shared" si="0"/>
        <v>BAVM 132 </v>
      </c>
      <c r="B19" s="2" t="str">
        <f t="shared" si="1"/>
        <v>I</v>
      </c>
      <c r="C19" s="15">
        <f t="shared" si="2"/>
        <v>51033.474000000002</v>
      </c>
      <c r="D19" s="14" t="str">
        <f t="shared" si="3"/>
        <v>vis</v>
      </c>
      <c r="E19" s="40">
        <f>VLOOKUP(C19,Active!C$21:E$973,3,FALSE)</f>
        <v>307.00093588594137</v>
      </c>
      <c r="F19" s="2" t="s">
        <v>56</v>
      </c>
      <c r="G19" s="14" t="str">
        <f t="shared" si="4"/>
        <v>51033.474</v>
      </c>
      <c r="H19" s="15">
        <f t="shared" si="5"/>
        <v>-575</v>
      </c>
      <c r="I19" s="41" t="s">
        <v>87</v>
      </c>
      <c r="J19" s="42" t="s">
        <v>88</v>
      </c>
      <c r="K19" s="41">
        <v>-575</v>
      </c>
      <c r="L19" s="41" t="s">
        <v>89</v>
      </c>
      <c r="M19" s="42" t="s">
        <v>61</v>
      </c>
      <c r="N19" s="42" t="s">
        <v>62</v>
      </c>
      <c r="O19" s="43" t="s">
        <v>63</v>
      </c>
      <c r="P19" s="44" t="s">
        <v>80</v>
      </c>
    </row>
    <row r="20" spans="1:16" ht="12.75" customHeight="1" thickBot="1" x14ac:dyDescent="0.25">
      <c r="A20" s="15" t="str">
        <f t="shared" si="0"/>
        <v>BAVM 132 </v>
      </c>
      <c r="B20" s="2" t="str">
        <f t="shared" si="1"/>
        <v>I</v>
      </c>
      <c r="C20" s="15">
        <f t="shared" si="2"/>
        <v>51434.405100000004</v>
      </c>
      <c r="D20" s="14" t="str">
        <f t="shared" si="3"/>
        <v>vis</v>
      </c>
      <c r="E20" s="40">
        <f>VLOOKUP(C20,Active!C$21:E$973,3,FALSE)</f>
        <v>463.99916984176349</v>
      </c>
      <c r="F20" s="2" t="s">
        <v>56</v>
      </c>
      <c r="G20" s="14" t="str">
        <f t="shared" si="4"/>
        <v>51434.4051</v>
      </c>
      <c r="H20" s="15">
        <f t="shared" si="5"/>
        <v>-418</v>
      </c>
      <c r="I20" s="41" t="s">
        <v>90</v>
      </c>
      <c r="J20" s="42" t="s">
        <v>91</v>
      </c>
      <c r="K20" s="41">
        <v>-418</v>
      </c>
      <c r="L20" s="41" t="s">
        <v>92</v>
      </c>
      <c r="M20" s="42" t="s">
        <v>61</v>
      </c>
      <c r="N20" s="42" t="s">
        <v>62</v>
      </c>
      <c r="O20" s="43" t="s">
        <v>63</v>
      </c>
      <c r="P20" s="44" t="s">
        <v>80</v>
      </c>
    </row>
    <row r="21" spans="1:16" ht="12.75" customHeight="1" thickBot="1" x14ac:dyDescent="0.25">
      <c r="A21" s="15" t="str">
        <f t="shared" si="0"/>
        <v>BAVM 132 </v>
      </c>
      <c r="B21" s="2" t="str">
        <f t="shared" si="1"/>
        <v>II</v>
      </c>
      <c r="C21" s="15">
        <f t="shared" si="2"/>
        <v>51471.440399999999</v>
      </c>
      <c r="D21" s="14" t="str">
        <f t="shared" si="3"/>
        <v>vis</v>
      </c>
      <c r="E21" s="40">
        <f>VLOOKUP(C21,Active!C$21:E$973,3,FALSE)</f>
        <v>478.50160353678837</v>
      </c>
      <c r="F21" s="2" t="s">
        <v>56</v>
      </c>
      <c r="G21" s="14" t="str">
        <f t="shared" si="4"/>
        <v>51471.4404</v>
      </c>
      <c r="H21" s="15">
        <f t="shared" si="5"/>
        <v>-403.5</v>
      </c>
      <c r="I21" s="41" t="s">
        <v>93</v>
      </c>
      <c r="J21" s="42" t="s">
        <v>94</v>
      </c>
      <c r="K21" s="41">
        <v>-403.5</v>
      </c>
      <c r="L21" s="41" t="s">
        <v>95</v>
      </c>
      <c r="M21" s="42" t="s">
        <v>61</v>
      </c>
      <c r="N21" s="42" t="s">
        <v>62</v>
      </c>
      <c r="O21" s="43" t="s">
        <v>63</v>
      </c>
      <c r="P21" s="44" t="s">
        <v>80</v>
      </c>
    </row>
    <row r="22" spans="1:16" ht="12.75" customHeight="1" thickBot="1" x14ac:dyDescent="0.25">
      <c r="A22" s="15" t="str">
        <f t="shared" si="0"/>
        <v>BAVM 152 </v>
      </c>
      <c r="B22" s="2" t="str">
        <f t="shared" si="1"/>
        <v>II</v>
      </c>
      <c r="C22" s="15">
        <f t="shared" si="2"/>
        <v>51757.453300000001</v>
      </c>
      <c r="D22" s="14" t="str">
        <f t="shared" si="3"/>
        <v>vis</v>
      </c>
      <c r="E22" s="40">
        <f>VLOOKUP(C22,Active!C$21:E$973,3,FALSE)</f>
        <v>590.49970043818416</v>
      </c>
      <c r="F22" s="2" t="s">
        <v>56</v>
      </c>
      <c r="G22" s="14" t="str">
        <f t="shared" si="4"/>
        <v>51757.4533</v>
      </c>
      <c r="H22" s="15">
        <f t="shared" si="5"/>
        <v>-291.5</v>
      </c>
      <c r="I22" s="41" t="s">
        <v>96</v>
      </c>
      <c r="J22" s="42" t="s">
        <v>97</v>
      </c>
      <c r="K22" s="41">
        <v>-291.5</v>
      </c>
      <c r="L22" s="41" t="s">
        <v>98</v>
      </c>
      <c r="M22" s="42" t="s">
        <v>61</v>
      </c>
      <c r="N22" s="42" t="s">
        <v>62</v>
      </c>
      <c r="O22" s="43" t="s">
        <v>63</v>
      </c>
      <c r="P22" s="44" t="s">
        <v>99</v>
      </c>
    </row>
    <row r="23" spans="1:16" ht="12.75" customHeight="1" thickBot="1" x14ac:dyDescent="0.25">
      <c r="A23" s="15" t="str">
        <f t="shared" si="0"/>
        <v>BAVM 152 </v>
      </c>
      <c r="B23" s="2" t="str">
        <f t="shared" si="1"/>
        <v>II</v>
      </c>
      <c r="C23" s="15">
        <f t="shared" si="2"/>
        <v>52043.486599999997</v>
      </c>
      <c r="D23" s="14" t="str">
        <f t="shared" si="3"/>
        <v>vis</v>
      </c>
      <c r="E23" s="40">
        <f>VLOOKUP(C23,Active!C$21:E$973,3,FALSE)</f>
        <v>702.5057856547088</v>
      </c>
      <c r="F23" s="2" t="s">
        <v>56</v>
      </c>
      <c r="G23" s="14" t="str">
        <f t="shared" si="4"/>
        <v>52043.4866</v>
      </c>
      <c r="H23" s="15">
        <f t="shared" si="5"/>
        <v>-179.5</v>
      </c>
      <c r="I23" s="41" t="s">
        <v>100</v>
      </c>
      <c r="J23" s="42" t="s">
        <v>101</v>
      </c>
      <c r="K23" s="41">
        <v>-179.5</v>
      </c>
      <c r="L23" s="41" t="s">
        <v>102</v>
      </c>
      <c r="M23" s="42" t="s">
        <v>61</v>
      </c>
      <c r="N23" s="42" t="s">
        <v>62</v>
      </c>
      <c r="O23" s="43" t="s">
        <v>63</v>
      </c>
      <c r="P23" s="44" t="s">
        <v>99</v>
      </c>
    </row>
    <row r="24" spans="1:16" ht="12.75" customHeight="1" thickBot="1" x14ac:dyDescent="0.25">
      <c r="A24" s="15" t="str">
        <f t="shared" si="0"/>
        <v>BAVM 209 </v>
      </c>
      <c r="B24" s="2" t="str">
        <f t="shared" si="1"/>
        <v>I</v>
      </c>
      <c r="C24" s="15">
        <f t="shared" si="2"/>
        <v>54925.399799999999</v>
      </c>
      <c r="D24" s="14" t="str">
        <f t="shared" si="3"/>
        <v>vis</v>
      </c>
      <c r="E24" s="40">
        <f>VLOOKUP(C24,Active!C$21:E$973,3,FALSE)</f>
        <v>1831.0171004765589</v>
      </c>
      <c r="F24" s="2" t="s">
        <v>56</v>
      </c>
      <c r="G24" s="14" t="str">
        <f t="shared" si="4"/>
        <v>54925.3998</v>
      </c>
      <c r="H24" s="15">
        <f t="shared" si="5"/>
        <v>949</v>
      </c>
      <c r="I24" s="41" t="s">
        <v>113</v>
      </c>
      <c r="J24" s="42" t="s">
        <v>114</v>
      </c>
      <c r="K24" s="41">
        <v>949</v>
      </c>
      <c r="L24" s="41" t="s">
        <v>115</v>
      </c>
      <c r="M24" s="42" t="s">
        <v>116</v>
      </c>
      <c r="N24" s="42" t="s">
        <v>117</v>
      </c>
      <c r="O24" s="43" t="s">
        <v>63</v>
      </c>
      <c r="P24" s="44" t="s">
        <v>118</v>
      </c>
    </row>
    <row r="25" spans="1:16" ht="12.75" customHeight="1" thickBot="1" x14ac:dyDescent="0.25">
      <c r="A25" s="15" t="str">
        <f t="shared" si="0"/>
        <v>IBVS 5960 </v>
      </c>
      <c r="B25" s="2" t="str">
        <f t="shared" si="1"/>
        <v>II</v>
      </c>
      <c r="C25" s="15">
        <f t="shared" si="2"/>
        <v>55383.785100000001</v>
      </c>
      <c r="D25" s="14" t="str">
        <f t="shared" si="3"/>
        <v>vis</v>
      </c>
      <c r="E25" s="40">
        <f>VLOOKUP(C25,Active!C$21:E$973,3,FALSE)</f>
        <v>2010.5134841976262</v>
      </c>
      <c r="F25" s="2" t="s">
        <v>56</v>
      </c>
      <c r="G25" s="14" t="str">
        <f t="shared" si="4"/>
        <v>55383.7851</v>
      </c>
      <c r="H25" s="15">
        <f t="shared" si="5"/>
        <v>1128.5</v>
      </c>
      <c r="I25" s="41" t="s">
        <v>119</v>
      </c>
      <c r="J25" s="42" t="s">
        <v>120</v>
      </c>
      <c r="K25" s="41" t="s">
        <v>121</v>
      </c>
      <c r="L25" s="41" t="s">
        <v>122</v>
      </c>
      <c r="M25" s="42" t="s">
        <v>116</v>
      </c>
      <c r="N25" s="42" t="s">
        <v>56</v>
      </c>
      <c r="O25" s="43" t="s">
        <v>107</v>
      </c>
      <c r="P25" s="44" t="s">
        <v>123</v>
      </c>
    </row>
    <row r="26" spans="1:16" ht="12.75" customHeight="1" thickBot="1" x14ac:dyDescent="0.25">
      <c r="A26" s="15" t="str">
        <f t="shared" si="0"/>
        <v> BBS 126 </v>
      </c>
      <c r="B26" s="2" t="str">
        <f t="shared" si="1"/>
        <v>II</v>
      </c>
      <c r="C26" s="15">
        <f t="shared" si="2"/>
        <v>52112.438000000002</v>
      </c>
      <c r="D26" s="14" t="str">
        <f t="shared" si="3"/>
        <v>vis</v>
      </c>
      <c r="E26" s="40">
        <f>VLOOKUP(C26,Active!C$21:E$973,3,FALSE)</f>
        <v>729.50605584772279</v>
      </c>
      <c r="F26" s="2" t="s">
        <v>56</v>
      </c>
      <c r="G26" s="14" t="str">
        <f t="shared" si="4"/>
        <v>52112.438</v>
      </c>
      <c r="H26" s="15">
        <f t="shared" si="5"/>
        <v>-152.5</v>
      </c>
      <c r="I26" s="41" t="s">
        <v>103</v>
      </c>
      <c r="J26" s="42" t="s">
        <v>104</v>
      </c>
      <c r="K26" s="41">
        <v>-152.5</v>
      </c>
      <c r="L26" s="41" t="s">
        <v>105</v>
      </c>
      <c r="M26" s="42" t="s">
        <v>61</v>
      </c>
      <c r="N26" s="42" t="s">
        <v>106</v>
      </c>
      <c r="O26" s="43" t="s">
        <v>107</v>
      </c>
      <c r="P26" s="43" t="s">
        <v>108</v>
      </c>
    </row>
    <row r="27" spans="1:16" ht="12.75" customHeight="1" thickBot="1" x14ac:dyDescent="0.25">
      <c r="A27" s="15" t="str">
        <f t="shared" si="0"/>
        <v> BBS 128 </v>
      </c>
      <c r="B27" s="2" t="str">
        <f t="shared" si="1"/>
        <v>I</v>
      </c>
      <c r="C27" s="15">
        <f t="shared" si="2"/>
        <v>52504.438000000002</v>
      </c>
      <c r="D27" s="14" t="str">
        <f t="shared" si="3"/>
        <v>vis</v>
      </c>
      <c r="E27" s="40">
        <f>VLOOKUP(C27,Active!C$21:E$973,3,FALSE)</f>
        <v>883.00701327078627</v>
      </c>
      <c r="F27" s="2" t="s">
        <v>56</v>
      </c>
      <c r="G27" s="14" t="str">
        <f t="shared" si="4"/>
        <v>52504.438</v>
      </c>
      <c r="H27" s="15">
        <f t="shared" si="5"/>
        <v>1</v>
      </c>
      <c r="I27" s="41" t="s">
        <v>109</v>
      </c>
      <c r="J27" s="42" t="s">
        <v>110</v>
      </c>
      <c r="K27" s="41">
        <v>1</v>
      </c>
      <c r="L27" s="41" t="s">
        <v>111</v>
      </c>
      <c r="M27" s="42" t="s">
        <v>61</v>
      </c>
      <c r="N27" s="42" t="s">
        <v>106</v>
      </c>
      <c r="O27" s="43" t="s">
        <v>107</v>
      </c>
      <c r="P27" s="43" t="s">
        <v>112</v>
      </c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</sheetData>
  <phoneticPr fontId="6" type="noConversion"/>
  <hyperlinks>
    <hyperlink ref="P11" r:id="rId1" display="http://www.bav-astro.de/sfs/BAVM_link.php?BAVMnr=94"/>
    <hyperlink ref="P12" r:id="rId2" display="http://www.bav-astro.de/sfs/BAVM_link.php?BAVMnr=94"/>
    <hyperlink ref="P13" r:id="rId3" display="http://www.bav-astro.de/sfs/BAVM_link.php?BAVMnr=94"/>
    <hyperlink ref="P14" r:id="rId4" display="http://www.bav-astro.de/sfs/BAVM_link.php?BAVMnr=94"/>
    <hyperlink ref="P15" r:id="rId5" display="http://www.bav-astro.de/sfs/BAVM_link.php?BAVMnr=94"/>
    <hyperlink ref="P16" r:id="rId6" display="http://www.bav-astro.de/sfs/BAVM_link.php?BAVMnr=132"/>
    <hyperlink ref="P17" r:id="rId7" display="http://www.bav-astro.de/sfs/BAVM_link.php?BAVMnr=132"/>
    <hyperlink ref="P18" r:id="rId8" display="http://www.bav-astro.de/sfs/BAVM_link.php?BAVMnr=132"/>
    <hyperlink ref="P19" r:id="rId9" display="http://www.bav-astro.de/sfs/BAVM_link.php?BAVMnr=132"/>
    <hyperlink ref="P20" r:id="rId10" display="http://www.bav-astro.de/sfs/BAVM_link.php?BAVMnr=132"/>
    <hyperlink ref="P21" r:id="rId11" display="http://www.bav-astro.de/sfs/BAVM_link.php?BAVMnr=132"/>
    <hyperlink ref="P22" r:id="rId12" display="http://www.bav-astro.de/sfs/BAVM_link.php?BAVMnr=152"/>
    <hyperlink ref="P23" r:id="rId13" display="http://www.bav-astro.de/sfs/BAVM_link.php?BAVMnr=152"/>
    <hyperlink ref="P24" r:id="rId14" display="http://www.bav-astro.de/sfs/BAVM_link.php?BAVMnr=209"/>
    <hyperlink ref="P25" r:id="rId15" display="http://www.konkoly.hu/cgi-bin/IBVS?596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2024-01-23T04:29:29Z</dcterms:modified>
</cp:coreProperties>
</file>